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390" windowHeight="5370" firstSheet="5" activeTab="10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</sheets>
  <calcPr calcId="144525"/>
</workbook>
</file>

<file path=xl/calcChain.xml><?xml version="1.0" encoding="utf-8"?>
<calcChain xmlns="http://schemas.openxmlformats.org/spreadsheetml/2006/main">
  <c r="G22" i="10" l="1"/>
  <c r="G21" i="10"/>
  <c r="G19" i="10"/>
  <c r="G22" i="44" l="1"/>
  <c r="G21" i="44"/>
  <c r="G19" i="44"/>
  <c r="G21" i="46"/>
  <c r="G22" i="46" s="1"/>
  <c r="G19" i="46"/>
  <c r="G12" i="46"/>
  <c r="G22" i="24"/>
  <c r="G21" i="24"/>
  <c r="G19" i="24"/>
  <c r="G22" i="45"/>
  <c r="G21" i="45"/>
  <c r="G19" i="45"/>
  <c r="G22" i="40"/>
  <c r="G21" i="40"/>
  <c r="G19" i="40"/>
  <c r="G22" i="8"/>
  <c r="G21" i="8"/>
  <c r="G19" i="8"/>
  <c r="G22" i="35"/>
  <c r="G21" i="35"/>
  <c r="G22" i="27"/>
  <c r="G21" i="27"/>
  <c r="G12" i="27"/>
  <c r="G22" i="41"/>
  <c r="G21" i="41"/>
  <c r="G19" i="41"/>
  <c r="G22" i="28"/>
  <c r="G21" i="28"/>
  <c r="G19" i="28"/>
  <c r="G22" i="22"/>
  <c r="G21" i="22"/>
  <c r="G19" i="22"/>
  <c r="G12" i="22"/>
  <c r="G22" i="19"/>
  <c r="G21" i="19"/>
  <c r="G19" i="19"/>
  <c r="G22" i="23"/>
  <c r="F22" i="23"/>
  <c r="E22" i="23"/>
  <c r="G21" i="23"/>
  <c r="G19" i="23"/>
  <c r="G15" i="23"/>
  <c r="G10" i="23"/>
  <c r="G22" i="25"/>
  <c r="G21" i="25"/>
  <c r="G19" i="25"/>
  <c r="G10" i="25"/>
  <c r="G22" i="20"/>
  <c r="G21" i="20"/>
  <c r="G22" i="15"/>
  <c r="G22" i="33"/>
  <c r="G21" i="33"/>
  <c r="G19" i="33"/>
  <c r="G22" i="21"/>
  <c r="G21" i="21"/>
  <c r="G19" i="21"/>
  <c r="G22" i="37" l="1"/>
  <c r="G21" i="37"/>
  <c r="G19" i="37"/>
  <c r="G22" i="3"/>
  <c r="G19" i="3"/>
  <c r="G15" i="3"/>
  <c r="G22" i="17"/>
  <c r="G21" i="17"/>
  <c r="G19" i="17"/>
  <c r="G22" i="11"/>
  <c r="G21" i="11"/>
  <c r="G19" i="11"/>
  <c r="G21" i="14"/>
  <c r="G22" i="14" s="1"/>
  <c r="G19" i="14"/>
  <c r="G22" i="9"/>
  <c r="G21" i="9"/>
  <c r="G19" i="9"/>
  <c r="G22" i="26"/>
  <c r="G21" i="26"/>
  <c r="G19" i="26"/>
  <c r="G22" i="12"/>
  <c r="G21" i="12"/>
  <c r="G19" i="12"/>
  <c r="G22" i="7"/>
  <c r="G21" i="7"/>
  <c r="G19" i="7"/>
  <c r="G21" i="6"/>
  <c r="G22" i="6" s="1"/>
  <c r="G15" i="6"/>
  <c r="G19" i="6"/>
  <c r="G10" i="6"/>
  <c r="G22" i="5"/>
  <c r="G21" i="5"/>
  <c r="G19" i="5"/>
  <c r="G12" i="5"/>
  <c r="G22" i="4"/>
  <c r="G21" i="4"/>
  <c r="G19" i="4"/>
  <c r="G19" i="30"/>
  <c r="G21" i="30" s="1"/>
  <c r="G22" i="30" s="1"/>
  <c r="G6" i="30"/>
  <c r="G19" i="2"/>
  <c r="G21" i="2" s="1"/>
  <c r="G22" i="2" s="1"/>
  <c r="G15" i="2"/>
  <c r="G22" i="29"/>
  <c r="G21" i="29"/>
  <c r="G19" i="29"/>
  <c r="F19" i="33" l="1"/>
  <c r="F22" i="44" l="1"/>
  <c r="F21" i="44"/>
  <c r="F19" i="44"/>
  <c r="F22" i="46"/>
  <c r="F21" i="46"/>
  <c r="F19" i="46"/>
  <c r="F12" i="46"/>
  <c r="F22" i="24"/>
  <c r="F21" i="24"/>
  <c r="F19" i="24"/>
  <c r="F22" i="45"/>
  <c r="F21" i="45"/>
  <c r="F19" i="45"/>
  <c r="F19" i="40" l="1"/>
  <c r="F21" i="40" s="1"/>
  <c r="F22" i="40" s="1"/>
  <c r="F22" i="8"/>
  <c r="F21" i="8"/>
  <c r="F19" i="8"/>
  <c r="F22" i="35"/>
  <c r="F21" i="35"/>
  <c r="F22" i="27"/>
  <c r="F21" i="27"/>
  <c r="F22" i="41"/>
  <c r="F21" i="41"/>
  <c r="F19" i="41"/>
  <c r="F21" i="28"/>
  <c r="F22" i="28" s="1"/>
  <c r="F19" i="28"/>
  <c r="F22" i="22"/>
  <c r="F21" i="22"/>
  <c r="F19" i="22"/>
  <c r="F12" i="22"/>
  <c r="F22" i="19"/>
  <c r="F21" i="19"/>
  <c r="F19" i="19"/>
  <c r="F13" i="19"/>
  <c r="F19" i="25" l="1"/>
  <c r="F21" i="25" s="1"/>
  <c r="F22" i="25" s="1"/>
  <c r="F10" i="25"/>
  <c r="F22" i="20"/>
  <c r="F22" i="15"/>
  <c r="F22" i="33"/>
  <c r="F21" i="33"/>
  <c r="F22" i="21" l="1"/>
  <c r="F21" i="21"/>
  <c r="F19" i="21"/>
  <c r="F22" i="37" l="1"/>
  <c r="F21" i="37"/>
  <c r="F19" i="37"/>
  <c r="F19" i="3"/>
  <c r="F15" i="3"/>
  <c r="F22" i="17"/>
  <c r="F21" i="17"/>
  <c r="F19" i="17"/>
  <c r="F22" i="11"/>
  <c r="F21" i="11"/>
  <c r="F19" i="11"/>
  <c r="F15" i="11"/>
  <c r="F22" i="14"/>
  <c r="F21" i="14"/>
  <c r="F19" i="14"/>
  <c r="F9" i="14"/>
  <c r="F22" i="10"/>
  <c r="F21" i="10"/>
  <c r="F19" i="10"/>
  <c r="F22" i="9"/>
  <c r="F21" i="9"/>
  <c r="F19" i="9"/>
  <c r="F22" i="26"/>
  <c r="F21" i="26"/>
  <c r="F19" i="26"/>
  <c r="F22" i="12"/>
  <c r="F21" i="12"/>
  <c r="F19" i="12"/>
  <c r="F22" i="7"/>
  <c r="F21" i="7"/>
  <c r="F19" i="7"/>
  <c r="F21" i="6" l="1"/>
  <c r="F20" i="6"/>
  <c r="F22" i="6"/>
  <c r="F10" i="6"/>
  <c r="F19" i="6" s="1"/>
  <c r="F15" i="6"/>
  <c r="F19" i="5"/>
  <c r="F21" i="5" s="1"/>
  <c r="F22" i="5" s="1"/>
  <c r="F12" i="5"/>
  <c r="F19" i="4"/>
  <c r="F21" i="4" s="1"/>
  <c r="F22" i="4" s="1"/>
  <c r="F6" i="30"/>
  <c r="F19" i="30"/>
  <c r="F21" i="30" s="1"/>
  <c r="F22" i="30" s="1"/>
  <c r="F21" i="2"/>
  <c r="F22" i="2" s="1"/>
  <c r="F19" i="2"/>
  <c r="F22" i="29"/>
  <c r="F21" i="29"/>
  <c r="F19" i="29"/>
  <c r="E6" i="25" l="1"/>
  <c r="E22" i="21" l="1"/>
  <c r="E21" i="21"/>
  <c r="E19" i="21"/>
  <c r="E22" i="44"/>
  <c r="E21" i="44"/>
  <c r="E19" i="44"/>
  <c r="E22" i="46"/>
  <c r="E21" i="46"/>
  <c r="D21" i="46"/>
  <c r="E19" i="46"/>
  <c r="E12" i="46"/>
  <c r="E22" i="24"/>
  <c r="E21" i="24"/>
  <c r="E19" i="24"/>
  <c r="E20" i="45"/>
  <c r="E21" i="45" s="1"/>
  <c r="E22" i="45" s="1"/>
  <c r="E19" i="45"/>
  <c r="E15" i="45"/>
  <c r="E7" i="45"/>
  <c r="E8" i="45"/>
  <c r="E22" i="40"/>
  <c r="E21" i="40"/>
  <c r="E19" i="40"/>
  <c r="E22" i="8"/>
  <c r="E21" i="8"/>
  <c r="E19" i="8"/>
  <c r="E22" i="35"/>
  <c r="E21" i="35"/>
  <c r="E22" i="27"/>
  <c r="E21" i="27"/>
  <c r="E12" i="27"/>
  <c r="E22" i="41"/>
  <c r="E21" i="41"/>
  <c r="E19" i="41"/>
  <c r="E22" i="28"/>
  <c r="E21" i="28"/>
  <c r="E19" i="28"/>
  <c r="E22" i="22"/>
  <c r="E21" i="22"/>
  <c r="E19" i="22"/>
  <c r="E12" i="22"/>
  <c r="E22" i="19"/>
  <c r="E21" i="19"/>
  <c r="E19" i="19"/>
  <c r="E13" i="19"/>
  <c r="E21" i="23"/>
  <c r="E15" i="23"/>
  <c r="E19" i="23" s="1"/>
  <c r="E19" i="25"/>
  <c r="E21" i="25" s="1"/>
  <c r="E22" i="25" s="1"/>
  <c r="E10" i="25"/>
  <c r="E22" i="15"/>
  <c r="E22" i="33"/>
  <c r="E21" i="33"/>
  <c r="E19" i="33"/>
  <c r="E22" i="37"/>
  <c r="E21" i="37"/>
  <c r="E19" i="37"/>
  <c r="E22" i="3"/>
  <c r="E19" i="3"/>
  <c r="E22" i="16"/>
  <c r="E20" i="16"/>
  <c r="E22" i="17"/>
  <c r="E21" i="17"/>
  <c r="E19" i="17"/>
  <c r="E22" i="11"/>
  <c r="E21" i="11"/>
  <c r="E19" i="11"/>
  <c r="E22" i="14"/>
  <c r="E21" i="14"/>
  <c r="E19" i="14"/>
  <c r="E22" i="10"/>
  <c r="E21" i="10"/>
  <c r="E19" i="10"/>
  <c r="E22" i="9"/>
  <c r="E21" i="9"/>
  <c r="E19" i="9"/>
  <c r="E21" i="26"/>
  <c r="E22" i="26" s="1"/>
  <c r="E19" i="26"/>
  <c r="E22" i="12"/>
  <c r="E21" i="12"/>
  <c r="E19" i="12"/>
  <c r="E12" i="12"/>
  <c r="E22" i="7"/>
  <c r="E21" i="7"/>
  <c r="E19" i="7"/>
  <c r="E22" i="6"/>
  <c r="E21" i="6"/>
  <c r="E19" i="6"/>
  <c r="E15" i="6"/>
  <c r="E10" i="6"/>
  <c r="E19" i="5"/>
  <c r="E21" i="5" s="1"/>
  <c r="E22" i="5" s="1"/>
  <c r="E12" i="5"/>
  <c r="E20" i="4"/>
  <c r="E21" i="4" s="1"/>
  <c r="E22" i="4" s="1"/>
  <c r="E19" i="4"/>
  <c r="E19" i="30"/>
  <c r="E21" i="30" s="1"/>
  <c r="E6" i="30"/>
  <c r="E20" i="2"/>
  <c r="E19" i="2"/>
  <c r="E15" i="2"/>
  <c r="E22" i="29"/>
  <c r="E21" i="29"/>
  <c r="E19" i="29"/>
  <c r="E21" i="2" l="1"/>
  <c r="D22" i="7"/>
  <c r="D22" i="44" l="1"/>
  <c r="D21" i="44"/>
  <c r="D19" i="44"/>
  <c r="D22" i="45"/>
  <c r="D21" i="45"/>
  <c r="D19" i="45"/>
  <c r="D22" i="10"/>
  <c r="C19" i="10"/>
  <c r="D21" i="10"/>
  <c r="D19" i="10"/>
  <c r="D22" i="37" l="1"/>
  <c r="D21" i="37"/>
  <c r="D19" i="37"/>
  <c r="D21" i="24"/>
  <c r="D22" i="24" s="1"/>
  <c r="D19" i="24"/>
  <c r="D22" i="46"/>
  <c r="D19" i="46"/>
  <c r="D19" i="40"/>
  <c r="D21" i="40" s="1"/>
  <c r="D22" i="8"/>
  <c r="D21" i="8"/>
  <c r="D19" i="8"/>
  <c r="D22" i="35"/>
  <c r="D21" i="35"/>
  <c r="D22" i="27"/>
  <c r="D21" i="27"/>
  <c r="D22" i="41"/>
  <c r="D21" i="41"/>
  <c r="D19" i="41"/>
  <c r="D21" i="28"/>
  <c r="D22" i="28" s="1"/>
  <c r="D19" i="28"/>
  <c r="D22" i="22"/>
  <c r="D21" i="22"/>
  <c r="D19" i="22"/>
  <c r="D22" i="19"/>
  <c r="D21" i="19"/>
  <c r="D19" i="19"/>
  <c r="D22" i="23" l="1"/>
  <c r="C22" i="23"/>
  <c r="D20" i="23"/>
  <c r="D21" i="23"/>
  <c r="D19" i="23"/>
  <c r="D15" i="23"/>
  <c r="D10" i="25"/>
  <c r="D19" i="25"/>
  <c r="D21" i="25" s="1"/>
  <c r="D22" i="25" s="1"/>
  <c r="D15" i="25"/>
  <c r="D22" i="15"/>
  <c r="C19" i="33"/>
  <c r="D19" i="33"/>
  <c r="D21" i="33" s="1"/>
  <c r="D22" i="21"/>
  <c r="D21" i="21"/>
  <c r="D19" i="21"/>
  <c r="D22" i="3"/>
  <c r="C22" i="3"/>
  <c r="D19" i="3"/>
  <c r="D21" i="3" s="1"/>
  <c r="D20" i="3"/>
  <c r="D15" i="3"/>
  <c r="D22" i="16"/>
  <c r="D20" i="16"/>
  <c r="D22" i="17"/>
  <c r="D21" i="17"/>
  <c r="D19" i="17"/>
  <c r="D22" i="11"/>
  <c r="D21" i="11"/>
  <c r="D19" i="11"/>
  <c r="D15" i="11"/>
  <c r="D20" i="14"/>
  <c r="D22" i="14"/>
  <c r="D15" i="14"/>
  <c r="D19" i="14"/>
  <c r="D21" i="14" s="1"/>
  <c r="D19" i="9"/>
  <c r="D21" i="9" s="1"/>
  <c r="D22" i="9" s="1"/>
  <c r="D22" i="26"/>
  <c r="D21" i="26"/>
  <c r="D19" i="26"/>
  <c r="D22" i="12"/>
  <c r="D21" i="12"/>
  <c r="D19" i="12"/>
  <c r="D20" i="6"/>
  <c r="D21" i="6"/>
  <c r="D22" i="6" s="1"/>
  <c r="D19" i="6"/>
  <c r="D13" i="6"/>
  <c r="D10" i="6"/>
  <c r="D22" i="5"/>
  <c r="D21" i="5"/>
  <c r="D19" i="5"/>
  <c r="D12" i="5"/>
  <c r="D21" i="4"/>
  <c r="D22" i="4" s="1"/>
  <c r="D19" i="4"/>
  <c r="D19" i="30"/>
  <c r="D21" i="30" s="1"/>
  <c r="D19" i="2"/>
  <c r="D21" i="2" s="1"/>
  <c r="D22" i="29"/>
  <c r="D19" i="29"/>
  <c r="D21" i="29"/>
  <c r="C22" i="10" l="1"/>
  <c r="C22" i="9"/>
  <c r="C21" i="10"/>
  <c r="B21" i="26"/>
  <c r="B19" i="9"/>
  <c r="C22" i="41"/>
  <c r="C22" i="25"/>
  <c r="C10" i="25"/>
  <c r="C19" i="23"/>
  <c r="C21" i="23" s="1"/>
  <c r="B22" i="44"/>
  <c r="C22" i="44"/>
  <c r="C21" i="44"/>
  <c r="C22" i="24"/>
  <c r="C22" i="45"/>
  <c r="C22" i="8"/>
  <c r="C22" i="35"/>
  <c r="C22" i="27"/>
  <c r="C22" i="28"/>
  <c r="C22" i="22"/>
  <c r="C22" i="19"/>
  <c r="C22" i="15"/>
  <c r="B22" i="33"/>
  <c r="C22" i="37"/>
  <c r="B22" i="37"/>
  <c r="B22" i="3"/>
  <c r="C22" i="16"/>
  <c r="C22" i="11"/>
  <c r="C22" i="12"/>
  <c r="C22" i="7"/>
  <c r="B22" i="7"/>
  <c r="C22" i="6"/>
  <c r="B22" i="6"/>
  <c r="C22" i="5"/>
  <c r="C22" i="29"/>
  <c r="C22" i="26" l="1"/>
  <c r="C21" i="41" l="1"/>
  <c r="C19" i="41"/>
  <c r="C21" i="22"/>
  <c r="C19" i="22"/>
  <c r="C19" i="11"/>
  <c r="C21" i="26"/>
  <c r="C19" i="26"/>
  <c r="C21" i="24"/>
  <c r="C19" i="24"/>
  <c r="C19" i="46"/>
  <c r="C21" i="46" s="1"/>
  <c r="C19" i="44"/>
  <c r="C21" i="45"/>
  <c r="C19" i="45"/>
  <c r="C19" i="40"/>
  <c r="C21" i="40" s="1"/>
  <c r="C21" i="8"/>
  <c r="C19" i="8"/>
  <c r="C21" i="35"/>
  <c r="C21" i="28" l="1"/>
  <c r="C19" i="28"/>
  <c r="C21" i="19"/>
  <c r="C19" i="19"/>
  <c r="B22" i="25" l="1"/>
  <c r="C19" i="25"/>
  <c r="C21" i="25" s="1"/>
  <c r="C19" i="20"/>
  <c r="C21" i="20" s="1"/>
  <c r="D19" i="20"/>
  <c r="D21" i="20" s="1"/>
  <c r="E19" i="20"/>
  <c r="E21" i="20" s="1"/>
  <c r="F19" i="20"/>
  <c r="F21" i="20" s="1"/>
  <c r="G19" i="20"/>
  <c r="H19" i="20"/>
  <c r="I19" i="20"/>
  <c r="J19" i="20"/>
  <c r="K19" i="20"/>
  <c r="L19" i="20"/>
  <c r="M19" i="20"/>
  <c r="C21" i="33"/>
  <c r="C19" i="21"/>
  <c r="C21" i="21" s="1"/>
  <c r="C21" i="37"/>
  <c r="C19" i="37"/>
  <c r="C19" i="14"/>
  <c r="C21" i="14" s="1"/>
  <c r="C22" i="33" l="1"/>
  <c r="D22" i="33"/>
  <c r="C19" i="3"/>
  <c r="C15" i="3"/>
  <c r="C22" i="17" l="1"/>
  <c r="C21" i="17"/>
  <c r="C19" i="17"/>
  <c r="C12" i="17"/>
  <c r="C21" i="11"/>
  <c r="C15" i="11"/>
  <c r="C21" i="9"/>
  <c r="C19" i="9"/>
  <c r="C21" i="12"/>
  <c r="C19" i="12"/>
  <c r="C21" i="7"/>
  <c r="C19" i="7"/>
  <c r="C21" i="6"/>
  <c r="C19" i="6"/>
  <c r="C13" i="6"/>
  <c r="C21" i="5"/>
  <c r="C19" i="5"/>
  <c r="C19" i="4" l="1"/>
  <c r="C21" i="4" s="1"/>
  <c r="C19" i="30"/>
  <c r="C21" i="30" s="1"/>
  <c r="C20" i="2"/>
  <c r="C15" i="2"/>
  <c r="C19" i="2" s="1"/>
  <c r="C21" i="2" s="1"/>
  <c r="C19" i="29"/>
  <c r="C21" i="29" s="1"/>
  <c r="B19" i="30" l="1"/>
  <c r="B21" i="30" s="1"/>
  <c r="I21" i="16"/>
  <c r="J21" i="16"/>
  <c r="M21" i="16"/>
  <c r="C19" i="16"/>
  <c r="C21" i="16" s="1"/>
  <c r="D19" i="16"/>
  <c r="D21" i="16" s="1"/>
  <c r="E19" i="16"/>
  <c r="E21" i="16" s="1"/>
  <c r="F19" i="16"/>
  <c r="F21" i="16" s="1"/>
  <c r="F22" i="16" s="1"/>
  <c r="G19" i="16"/>
  <c r="G21" i="16" s="1"/>
  <c r="G22" i="16" s="1"/>
  <c r="H19" i="16"/>
  <c r="H21" i="16" s="1"/>
  <c r="I19" i="16"/>
  <c r="J19" i="16"/>
  <c r="K19" i="16"/>
  <c r="K21" i="16" s="1"/>
  <c r="L19" i="16"/>
  <c r="L21" i="16" s="1"/>
  <c r="M19" i="16"/>
  <c r="B19" i="33"/>
  <c r="B21" i="33" s="1"/>
  <c r="B19" i="26"/>
  <c r="B22" i="26" s="1"/>
  <c r="B22" i="28"/>
  <c r="B21" i="28"/>
  <c r="B19" i="28"/>
  <c r="B19" i="3"/>
  <c r="B21" i="45"/>
  <c r="B19" i="45"/>
  <c r="G19" i="27"/>
  <c r="H19" i="27"/>
  <c r="I19" i="27"/>
  <c r="J19" i="27"/>
  <c r="K19" i="27"/>
  <c r="L19" i="27"/>
  <c r="B19" i="21"/>
  <c r="B21" i="21" s="1"/>
  <c r="C22" i="21" s="1"/>
  <c r="B19" i="41"/>
  <c r="B21" i="41" s="1"/>
  <c r="B22" i="41" s="1"/>
  <c r="B19" i="40"/>
  <c r="B21" i="40" s="1"/>
  <c r="E22" i="30" l="1"/>
  <c r="D22" i="30"/>
  <c r="C22" i="30"/>
  <c r="B22" i="30"/>
  <c r="D22" i="40"/>
  <c r="C22" i="40"/>
  <c r="B22" i="40"/>
  <c r="M19" i="15"/>
  <c r="M21" i="15" s="1"/>
  <c r="L19" i="15"/>
  <c r="M19" i="2" l="1"/>
  <c r="K19" i="15"/>
  <c r="J19" i="15" l="1"/>
  <c r="I19" i="15" l="1"/>
  <c r="H19" i="15" l="1"/>
  <c r="H21" i="15" s="1"/>
  <c r="G19" i="15" l="1"/>
  <c r="F19" i="27" l="1"/>
  <c r="F19" i="15"/>
  <c r="E19" i="15" l="1"/>
  <c r="E19" i="27" l="1"/>
  <c r="D19" i="15" l="1"/>
  <c r="D21" i="15" s="1"/>
  <c r="B22" i="21"/>
  <c r="D19" i="27"/>
  <c r="C19" i="15"/>
  <c r="C21" i="15" s="1"/>
  <c r="C21" i="3"/>
  <c r="C19" i="27"/>
  <c r="C21" i="27" s="1"/>
  <c r="B19" i="25"/>
  <c r="B21" i="25" s="1"/>
  <c r="B19" i="6"/>
  <c r="B21" i="6" s="1"/>
  <c r="B19" i="4"/>
  <c r="B21" i="4" s="1"/>
  <c r="C22" i="4" s="1"/>
  <c r="B19" i="8"/>
  <c r="B21" i="8" s="1"/>
  <c r="B19" i="37"/>
  <c r="B21" i="37" s="1"/>
  <c r="B19" i="46"/>
  <c r="B21" i="46" s="1"/>
  <c r="C22" i="46" s="1"/>
  <c r="B19" i="24"/>
  <c r="B21" i="24" s="1"/>
  <c r="B19" i="35"/>
  <c r="B21" i="35" s="1"/>
  <c r="B19" i="27"/>
  <c r="B21" i="27" s="1"/>
  <c r="B19" i="22"/>
  <c r="B21" i="22" s="1"/>
  <c r="B19" i="19"/>
  <c r="B21" i="19" s="1"/>
  <c r="B19" i="23"/>
  <c r="B21" i="23" s="1"/>
  <c r="L21" i="15"/>
  <c r="K21" i="15"/>
  <c r="J21" i="15"/>
  <c r="I21" i="15"/>
  <c r="G21" i="15"/>
  <c r="F21" i="15"/>
  <c r="E21" i="15"/>
  <c r="B19" i="15"/>
  <c r="B21" i="15" s="1"/>
  <c r="M21" i="3"/>
  <c r="L21" i="3"/>
  <c r="K21" i="3"/>
  <c r="J21" i="3"/>
  <c r="H21" i="3"/>
  <c r="G21" i="3"/>
  <c r="F21" i="3"/>
  <c r="F22" i="3" s="1"/>
  <c r="E21" i="3"/>
  <c r="B21" i="3"/>
  <c r="B19" i="16"/>
  <c r="B21" i="16" s="1"/>
  <c r="B19" i="17"/>
  <c r="B21" i="17" s="1"/>
  <c r="B19" i="14"/>
  <c r="B21" i="14" s="1"/>
  <c r="C22" i="14" s="1"/>
  <c r="B21" i="9"/>
  <c r="B22" i="9" s="1"/>
  <c r="B19" i="12"/>
  <c r="B21" i="12" s="1"/>
  <c r="B19" i="7"/>
  <c r="B21" i="7" s="1"/>
  <c r="B19" i="5"/>
  <c r="B21" i="5" s="1"/>
  <c r="B19" i="2"/>
  <c r="B21" i="2" s="1"/>
  <c r="E22" i="2" s="1"/>
  <c r="B19" i="29"/>
  <c r="B21" i="29" s="1"/>
  <c r="D22" i="2" l="1"/>
  <c r="C22" i="2"/>
  <c r="B22" i="23"/>
  <c r="B22" i="24"/>
  <c r="B22" i="8"/>
  <c r="B22" i="15"/>
  <c r="B22" i="19"/>
  <c r="B22" i="12"/>
  <c r="B22" i="27"/>
  <c r="B22" i="35"/>
  <c r="B19" i="20"/>
  <c r="B21" i="20" s="1"/>
  <c r="B22" i="2"/>
  <c r="B22" i="17"/>
  <c r="B22" i="4"/>
  <c r="B22" i="14"/>
  <c r="B22" i="16"/>
  <c r="B22" i="5"/>
  <c r="B22" i="22"/>
  <c r="B22" i="46"/>
  <c r="B22" i="29"/>
  <c r="E22" i="20" l="1"/>
  <c r="D22" i="20"/>
  <c r="C22" i="20"/>
  <c r="B22" i="20"/>
  <c r="B22" i="45" l="1"/>
</calcChain>
</file>

<file path=xl/sharedStrings.xml><?xml version="1.0" encoding="utf-8"?>
<sst xmlns="http://schemas.openxmlformats.org/spreadsheetml/2006/main" count="1373" uniqueCount="81">
  <si>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</si>
  <si>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</si>
  <si>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</si>
  <si>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</si>
  <si>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</si>
  <si>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</si>
  <si>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</si>
  <si>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</si>
  <si>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</si>
  <si>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</si>
  <si>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</si>
  <si>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</si>
  <si>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</si>
  <si>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</si>
  <si>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</si>
  <si>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</si>
  <si>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</si>
  <si>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</si>
  <si>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</si>
  <si>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</si>
  <si>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</si>
  <si>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</si>
  <si>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</si>
  <si>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</si>
  <si>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</si>
  <si>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</si>
  <si>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</si>
  <si>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</si>
  <si>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</si>
  <si>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</si>
  <si>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</si>
  <si>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</si>
  <si>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</si>
  <si>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</si>
  <si>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</si>
  <si>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</si>
  <si>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</si>
  <si>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</si>
  <si>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</si>
  <si>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</si>
  <si>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 xml:space="preserve">                                                     </t>
  </si>
  <si>
    <t>VEREADOR Aderaldo de Oliveira  - DEMONSTRATIVO DA VERBA INDENIZATORIA 2018</t>
  </si>
  <si>
    <t>VEREADOR Ivan Moraes - DEMONSTRATIVO DA VERBA INDENIZATORIA 2018</t>
  </si>
  <si>
    <t>VEREADOR Ricardo Cruz- DEMONSTRATIVO DA VERBA INDENIZATORIA 2018</t>
  </si>
  <si>
    <t>VEREADOR Marília Arraes- DEMONSTRATIVO DA VERBA INDENIZATORIA 2018</t>
  </si>
  <si>
    <t>VEREADOR Felipe Francismar- DEMONSTRATIVO DA VERBA INDENIZATORIA 2018</t>
  </si>
  <si>
    <t>VEREADOR Jairo Britto - DEMONSTRATIVO DA VERBA INDENIZATORIA 2018</t>
  </si>
  <si>
    <t>VEREADOR Marcos di Bria - DEMONSTRATIVO DA VERBA INDENIZATORIA 2018</t>
  </si>
  <si>
    <t>VEREADOR Rodrigo Coutinho - DEMONSTRATIVO DA VERBA INDENIZATORIA 2018</t>
  </si>
  <si>
    <t>VEREADOR Daize Michelle- DEMONSTRATIVO DA VERBA INDENIZATORIA 2018</t>
  </si>
  <si>
    <t>VEREADOR Marco Aurélio - DEMONSTRATIVO DA VERBA INDENIZATORIA 2018</t>
  </si>
  <si>
    <t xml:space="preserve">      </t>
  </si>
  <si>
    <t>VEREADOR André Régis - DEMONSTRATIVO DA VERBA INDENIZATORIA 2018</t>
  </si>
  <si>
    <t>VEREADOR Antônio Luiz Neto - DEMONSTRATIVO DA VERBA INDENIZATORIA 2018</t>
  </si>
  <si>
    <t>VEREADOR Rafael Acioli - DEMONSTRATIVO DA VERBA INDENIZATORIA 2018</t>
  </si>
  <si>
    <t>VEREADOR Aerto Luna - DEMONSTRATIVO DA VERBA INDENIZATORIA 2018</t>
  </si>
  <si>
    <t>VEREADOR Aline Mariano - DEMONSTRATIVO DA VERBA INDENIZATORIA 2018</t>
  </si>
  <si>
    <t>VEREADOR Romerinho Jatobá - DEMONSTRATIVO DA VERBA INDENIZATORIA 2018</t>
  </si>
  <si>
    <t>VEREADOR Fred Ferreira - DEMONSTRATIVO DA VERBA INDENIZATORIA 2018</t>
  </si>
  <si>
    <t>VEREADOR Davi Muniz- DEMONSTRATIVO DA VERBA INDENIZATORIA 2018</t>
  </si>
  <si>
    <t>VEREADOR Júnior Bocão - DEMONSTRATIVO DA VERBA INDENIZATORIA 2018</t>
  </si>
  <si>
    <t>VEREADOR Aimée Silva - DEMONSTRATIVO DA VERBA INDENIZATORIA 2018</t>
  </si>
  <si>
    <t>VEREADOR Amaro Cipriano - DEMONSTRATIVO DA VERBA INDENIZATORIA 2018</t>
  </si>
  <si>
    <t>VEREADOR Almir Fernando - DEMONSTRATIVO DA VERBA INDENIZATORIA 2018</t>
  </si>
  <si>
    <t>VEREADOR Alcides Teixeira Neto - DEMONSTRATIVO DA VERBA INDENIZATORIA 2018</t>
  </si>
  <si>
    <t>VEREADOR Ana Lúcia - DEMONSTRATIVO DA VERBA INDENIZATORIA 2018</t>
  </si>
  <si>
    <t>VEREADOR Hélio Guabiraba - DEMONSTRATIVO DA VERBA INDENIZATORIA 2018</t>
  </si>
  <si>
    <t>VEREADOR Chico Kiko - DEMONSTRATIVO DA VERBA INDENIZATORIA 2018</t>
  </si>
  <si>
    <t>VEREADOR Eduardo Pereira - DEMONSTRATIVO DA VERBA INDENIZATORIA 2018</t>
  </si>
  <si>
    <t>VEREADOR Natália de Menudo - DEMONSTRATIVO DA VERBA INDENIZATORIA 2018</t>
  </si>
  <si>
    <t>VEREADOR Augusto Carreras - DEMONSTRATIVO DA VERBA INDENIZATORIA 2018</t>
  </si>
  <si>
    <t>VEREADOR  Benjamin da Saúde - DEMONSTRATIVO DA VERBA INDENIZATORIA 2018</t>
  </si>
  <si>
    <t>VEREADOR Carlos Gueiros - DEMONSTRATIVO DA VERBA INDENIZATORIA 2018</t>
  </si>
  <si>
    <t>VEREADOR Eduardo Marques - DEMONSTRATIVO DA VERBA INDENIZATORIA 2018</t>
  </si>
  <si>
    <t xml:space="preserve">VEREADOR Gilberto Alves - DEMONSTRATIVO DA VERBA INDENIZATORIA 2018       </t>
  </si>
  <si>
    <t>VEREADOR Rinaldo Júnior - DEMONSTRATIVO DA VERBA INDENIZATORIA 2018</t>
  </si>
  <si>
    <t>VEREADOR Renato Antunes - DEMONSTRATIVO DA VERBA INDENIZATORIA 2018</t>
  </si>
  <si>
    <t>VEREADOR Rogério di Lucca - DEMONSTRATIVO DA VERBA INDENIZATORIA 2018</t>
  </si>
  <si>
    <t>VEREADOR Romero Albuquerque - DEMONSTRATIVO DA VERBA INDENIZATORIA 2018</t>
  </si>
  <si>
    <t>VEREADOR Wanderson Sobral - DEMONSTRATIVO DA VERBA INDENIZATORIA 2018</t>
  </si>
  <si>
    <t xml:space="preserve">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</si>
</sst>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0" fontId="3" fillId="0" borderId="7" xfId="0" applyNumberFormat="1" applyFont="1" applyFill="1" applyBorder="1" applyAlignment="1">
      <alignment horizontal="justify" vertical="top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43" fontId="11" fillId="2" borderId="4" xfId="1" applyFont="1" applyFill="1" applyBorder="1" applyAlignment="1">
      <alignment horizontal="center"/>
    </xf>
    <xf numFmtId="0" fontId="10" fillId="0" borderId="10" xfId="0" applyFont="1" applyFill="1" applyBorder="1"/>
    <xf numFmtId="43" fontId="11" fillId="2" borderId="8" xfId="1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43" fontId="11" fillId="0" borderId="8" xfId="1" applyFont="1" applyFill="1" applyBorder="1"/>
    <xf numFmtId="2" fontId="11" fillId="0" borderId="8" xfId="1" applyNumberFormat="1" applyFont="1" applyFill="1" applyBorder="1"/>
    <xf numFmtId="0" fontId="10" fillId="0" borderId="0" xfId="0" applyFont="1" applyFill="1" applyBorder="1"/>
    <xf numFmtId="0" fontId="7" fillId="2" borderId="14" xfId="0" applyFont="1" applyFill="1" applyBorder="1"/>
    <xf numFmtId="43" fontId="3" fillId="0" borderId="6" xfId="1" applyFont="1" applyFill="1" applyBorder="1" applyAlignment="1">
      <alignment horizontal="center"/>
    </xf>
    <xf numFmtId="43" fontId="11" fillId="3" borderId="5" xfId="1" applyFont="1" applyFill="1" applyBorder="1" applyAlignment="1">
      <alignment horizontal="center"/>
    </xf>
    <xf numFmtId="0" fontId="7" fillId="0" borderId="3" xfId="0" applyFont="1" applyFill="1" applyBorder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3" fontId="12" fillId="0" borderId="4" xfId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zoomScaleNormal="100" workbookViewId="0">
      <selection activeCell="G21" sqref="G21"/>
    </sheetView>
  </sheetViews>
  <sheetFormatPr defaultRowHeight="12.75" x14ac:dyDescent="0.2"/>
  <cols>
    <col min="1" max="1" width="44" style="21" customWidth="1"/>
    <col min="2" max="2" width="9.85546875" style="15" customWidth="1"/>
    <col min="3" max="3" width="9.28515625" style="15" customWidth="1"/>
    <col min="4" max="4" width="9.140625" style="16" customWidth="1"/>
    <col min="5" max="5" width="9" style="16" bestFit="1" customWidth="1"/>
    <col min="6" max="7" width="8.85546875" style="16" customWidth="1"/>
    <col min="8" max="8" width="9" style="16" customWidth="1"/>
    <col min="9" max="9" width="9" style="16" bestFit="1" customWidth="1"/>
    <col min="10" max="10" width="9.5703125" style="16" customWidth="1"/>
    <col min="11" max="11" width="10.2851562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4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1.75" thickBot="1" x14ac:dyDescent="0.25">
      <c r="A2" s="48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25.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4350</v>
      </c>
      <c r="C12" s="32">
        <v>4060</v>
      </c>
      <c r="D12" s="32">
        <v>4495</v>
      </c>
      <c r="E12" s="30">
        <v>4350</v>
      </c>
      <c r="F12" s="30">
        <v>4495</v>
      </c>
      <c r="G12" s="33">
        <v>4350</v>
      </c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352.04</v>
      </c>
      <c r="E15" s="30" t="s">
        <v>37</v>
      </c>
      <c r="F15" s="32"/>
      <c r="G15" s="32">
        <v>253.42</v>
      </c>
      <c r="H15" s="32"/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617</v>
      </c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4350</v>
      </c>
      <c r="C19" s="28">
        <f t="shared" si="0"/>
        <v>4677</v>
      </c>
      <c r="D19" s="28">
        <f t="shared" si="0"/>
        <v>4847.04</v>
      </c>
      <c r="E19" s="28">
        <f t="shared" si="0"/>
        <v>4350</v>
      </c>
      <c r="F19" s="28">
        <f t="shared" si="0"/>
        <v>4495</v>
      </c>
      <c r="G19" s="28">
        <f t="shared" si="0"/>
        <v>4603.42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77</v>
      </c>
      <c r="D20" s="32">
        <v>247.04</v>
      </c>
      <c r="E20" s="32"/>
      <c r="F20" s="32"/>
      <c r="G20" s="32">
        <v>3.42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4350</v>
      </c>
      <c r="C21" s="28">
        <f t="shared" si="1"/>
        <v>4600</v>
      </c>
      <c r="D21" s="28">
        <f t="shared" si="1"/>
        <v>4600</v>
      </c>
      <c r="E21" s="28">
        <f t="shared" si="1"/>
        <v>4350</v>
      </c>
      <c r="F21" s="28">
        <f t="shared" si="1"/>
        <v>4495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4350</v>
      </c>
      <c r="C22" s="37">
        <f>AVERAGE($B21:C21)</f>
        <v>4475</v>
      </c>
      <c r="D22" s="37">
        <f>AVERAGE($B21:D21)</f>
        <v>4516.666666666667</v>
      </c>
      <c r="E22" s="37">
        <f>AVERAGE($B21:E21)</f>
        <v>4475</v>
      </c>
      <c r="F22" s="37">
        <f>AVERAGE($B21:F21)</f>
        <v>4479</v>
      </c>
      <c r="G22" s="37">
        <f>AVERAGE($B21:G21)</f>
        <v>4499.166666666667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7" sqref="G7"/>
    </sheetView>
  </sheetViews>
  <sheetFormatPr defaultRowHeight="12" x14ac:dyDescent="0.2"/>
  <cols>
    <col min="1" max="1" width="51.7109375" style="3" customWidth="1"/>
    <col min="2" max="2" width="9" style="10" customWidth="1"/>
    <col min="3" max="3" width="9.140625" style="10" customWidth="1"/>
    <col min="4" max="7" width="9" style="11" bestFit="1" customWidth="1"/>
    <col min="8" max="8" width="8.7109375" style="11" customWidth="1"/>
    <col min="9" max="9" width="9" style="11" bestFit="1" customWidth="1"/>
    <col min="10" max="10" width="9.42578125" style="11" customWidth="1"/>
    <col min="11" max="12" width="9" style="11" customWidth="1"/>
    <col min="13" max="13" width="9" style="11" bestFit="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5" customFormat="1" ht="21.75" thickBot="1" x14ac:dyDescent="0.25">
      <c r="A2" s="48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1119.69</v>
      </c>
      <c r="C7" s="30">
        <v>500.16</v>
      </c>
      <c r="D7" s="30">
        <v>1031.6400000000001</v>
      </c>
      <c r="E7" s="30">
        <v>1139.1099999999999</v>
      </c>
      <c r="F7" s="30">
        <v>984.41</v>
      </c>
      <c r="G7" s="30">
        <v>911.05</v>
      </c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118.22</v>
      </c>
      <c r="C8" s="30">
        <v>142.66</v>
      </c>
      <c r="D8" s="30">
        <v>118.22</v>
      </c>
      <c r="E8" s="30">
        <v>121.6</v>
      </c>
      <c r="F8" s="30">
        <v>119.22</v>
      </c>
      <c r="G8" s="30">
        <v>122.5</v>
      </c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>
        <v>418.52</v>
      </c>
      <c r="D9" s="30">
        <v>466.96</v>
      </c>
      <c r="E9" s="30">
        <v>418.52</v>
      </c>
      <c r="F9" s="30">
        <v>418.52</v>
      </c>
      <c r="G9" s="30">
        <v>418.52</v>
      </c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309.56</v>
      </c>
      <c r="C10" s="30">
        <v>314.2</v>
      </c>
      <c r="D10" s="30">
        <v>202.45</v>
      </c>
      <c r="E10" s="30">
        <v>234.49</v>
      </c>
      <c r="F10" s="30">
        <v>226.91</v>
      </c>
      <c r="G10" s="30">
        <v>237.06</v>
      </c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ht="12.75" x14ac:dyDescent="0.2">
      <c r="A13" s="8" t="s">
        <v>28</v>
      </c>
      <c r="B13" s="32">
        <v>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>
        <v>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>
        <v>323</v>
      </c>
      <c r="C15" s="32">
        <f>75+397.25+35.3</f>
        <v>507.55</v>
      </c>
      <c r="D15" s="32"/>
      <c r="E15" s="33">
        <f>114+944.2</f>
        <v>1058.2</v>
      </c>
      <c r="F15" s="32">
        <v>153</v>
      </c>
      <c r="G15" s="32">
        <f>288+671.7</f>
        <v>959.7</v>
      </c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3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1870.47</v>
      </c>
      <c r="C19" s="28">
        <f t="shared" si="0"/>
        <v>1883.0900000000001</v>
      </c>
      <c r="D19" s="28">
        <f t="shared" si="0"/>
        <v>1819.2700000000002</v>
      </c>
      <c r="E19" s="28">
        <f t="shared" si="0"/>
        <v>2971.92</v>
      </c>
      <c r="F19" s="28">
        <f t="shared" si="0"/>
        <v>1902.06</v>
      </c>
      <c r="G19" s="28">
        <f t="shared" si="0"/>
        <v>2648.83</v>
      </c>
      <c r="H19" s="28"/>
      <c r="I19" s="28"/>
      <c r="J19" s="28"/>
      <c r="K19" s="28"/>
      <c r="L19" s="28"/>
      <c r="M19" s="28">
        <f>SUM(M5:M18)</f>
        <v>0</v>
      </c>
    </row>
    <row r="20" spans="1:13" ht="13.5" thickBot="1" x14ac:dyDescent="0.25">
      <c r="A20" s="36" t="s">
        <v>14</v>
      </c>
      <c r="B20" s="29">
        <v>0</v>
      </c>
      <c r="C20" s="32">
        <f>32.19+1+1.31</f>
        <v>34.5</v>
      </c>
      <c r="D20" s="32">
        <v>26.41</v>
      </c>
      <c r="E20" s="32">
        <f>3.38+6.4+114</f>
        <v>123.78</v>
      </c>
      <c r="F20" s="32">
        <v>66.25</v>
      </c>
      <c r="G20" s="32">
        <v>320.19</v>
      </c>
      <c r="H20" s="32"/>
      <c r="I20" s="32"/>
      <c r="J20" s="32"/>
      <c r="K20" s="32"/>
      <c r="L20" s="32"/>
      <c r="M20" s="32">
        <v>0</v>
      </c>
    </row>
    <row r="21" spans="1:13" ht="13.5" thickBot="1" x14ac:dyDescent="0.25">
      <c r="A21" s="27" t="s">
        <v>15</v>
      </c>
      <c r="B21" s="28">
        <f t="shared" ref="B21:G21" si="1">B19-B20</f>
        <v>1870.47</v>
      </c>
      <c r="C21" s="28">
        <f t="shared" si="1"/>
        <v>1848.5900000000001</v>
      </c>
      <c r="D21" s="28">
        <f t="shared" si="1"/>
        <v>1792.8600000000001</v>
      </c>
      <c r="E21" s="28">
        <f t="shared" si="1"/>
        <v>2848.14</v>
      </c>
      <c r="F21" s="28">
        <f t="shared" si="1"/>
        <v>1835.81</v>
      </c>
      <c r="G21" s="28">
        <f t="shared" si="1"/>
        <v>2328.64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1870.47</v>
      </c>
      <c r="C22" s="37">
        <f>AVERAGE($B21:C21)</f>
        <v>1859.5300000000002</v>
      </c>
      <c r="D22" s="37">
        <f>AVERAGE($B21:D21)</f>
        <v>1837.3066666666666</v>
      </c>
      <c r="E22" s="37">
        <f>AVERAGE($B21:E21)</f>
        <v>2090.0149999999999</v>
      </c>
      <c r="F22" s="37">
        <f>AVERAGE($B21:F21)</f>
        <v>2039.1739999999998</v>
      </c>
      <c r="G22" s="37">
        <f>AVERAGE($B21:G21)</f>
        <v>2087.4183333333331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H22" sqref="H22"/>
    </sheetView>
  </sheetViews>
  <sheetFormatPr defaultRowHeight="12.75" x14ac:dyDescent="0.2"/>
  <cols>
    <col min="1" max="1" width="47.42578125" style="21" customWidth="1"/>
    <col min="2" max="2" width="8.85546875" style="15" customWidth="1"/>
    <col min="3" max="3" width="9" style="15" bestFit="1" customWidth="1"/>
    <col min="4" max="4" width="9" style="16" bestFit="1" customWidth="1"/>
    <col min="5" max="5" width="9.7109375" style="16" customWidth="1"/>
    <col min="6" max="13" width="9" style="16" bestFit="1" customWidth="1"/>
    <col min="14" max="16384" width="9.140625" style="18"/>
  </cols>
  <sheetData>
    <row r="1" spans="1:14" s="17" customFormat="1" ht="21.75" thickBot="1" x14ac:dyDescent="0.35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4" ht="21.75" thickBot="1" x14ac:dyDescent="0.25">
      <c r="A2" s="48" t="s">
        <v>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">
      <c r="A5" s="7" t="s">
        <v>20</v>
      </c>
      <c r="B5" s="30">
        <v>0</v>
      </c>
      <c r="C5" s="30"/>
      <c r="D5" s="30"/>
      <c r="E5" s="30">
        <v>1200</v>
      </c>
      <c r="F5" s="30">
        <v>1200</v>
      </c>
      <c r="G5" s="30">
        <v>1200</v>
      </c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>
        <f>234.24+65.6+2.35+38.4+16</f>
        <v>356.59000000000003</v>
      </c>
      <c r="F6" s="30">
        <f>91.2+38.4+16+2.35+45+234.24+65.6+94.51</f>
        <v>587.29999999999995</v>
      </c>
      <c r="G6" s="30">
        <f>53.38+234.24+65.6+2.35+46.83+93.66+38.4+16</f>
        <v>550.46</v>
      </c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>
        <v>45</v>
      </c>
      <c r="F7" s="30">
        <v>197.32</v>
      </c>
      <c r="G7" s="30">
        <v>83.35</v>
      </c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>
        <v>91.2</v>
      </c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>
        <v>94.51</v>
      </c>
      <c r="F9" s="30"/>
      <c r="G9" s="30"/>
      <c r="H9" s="30"/>
      <c r="I9" s="30"/>
      <c r="J9" s="30"/>
      <c r="K9" s="30"/>
      <c r="L9" s="30"/>
      <c r="M9" s="30"/>
    </row>
    <row r="10" spans="1:14" ht="13.5" customHeight="1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2480</v>
      </c>
      <c r="C12" s="32">
        <v>2240</v>
      </c>
      <c r="D12" s="33">
        <v>2480</v>
      </c>
      <c r="E12" s="30">
        <v>2400</v>
      </c>
      <c r="F12" s="33">
        <v>2480</v>
      </c>
      <c r="G12" s="33">
        <v>2400</v>
      </c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  <c r="N13" s="26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70</v>
      </c>
      <c r="E15" s="47"/>
      <c r="F15" s="32"/>
      <c r="G15" s="30"/>
      <c r="H15" s="32"/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2480</v>
      </c>
      <c r="C19" s="28">
        <f t="shared" si="0"/>
        <v>2240</v>
      </c>
      <c r="D19" s="28">
        <f t="shared" si="0"/>
        <v>2550</v>
      </c>
      <c r="E19" s="28">
        <f t="shared" si="0"/>
        <v>4187.3</v>
      </c>
      <c r="F19" s="28">
        <f t="shared" si="0"/>
        <v>4464.62</v>
      </c>
      <c r="G19" s="28">
        <f t="shared" si="0"/>
        <v>4233.8099999999995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70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2480</v>
      </c>
      <c r="C21" s="28">
        <f t="shared" si="1"/>
        <v>2240</v>
      </c>
      <c r="D21" s="28">
        <f t="shared" si="1"/>
        <v>2480</v>
      </c>
      <c r="E21" s="28">
        <f t="shared" si="1"/>
        <v>4187.3</v>
      </c>
      <c r="F21" s="28">
        <f t="shared" si="1"/>
        <v>4464.62</v>
      </c>
      <c r="G21" s="28">
        <f t="shared" si="1"/>
        <v>4233.8099999999995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B21</f>
        <v>2480</v>
      </c>
      <c r="C22" s="37">
        <f>AVERAGE($B21:C21)</f>
        <v>2360</v>
      </c>
      <c r="D22" s="37">
        <f>AVERAGE($B21:D21)</f>
        <v>2400</v>
      </c>
      <c r="E22" s="37">
        <f>AVERAGE($B21:E21)</f>
        <v>2846.8249999999998</v>
      </c>
      <c r="F22" s="37">
        <f>AVERAGE($B21:F21)</f>
        <v>3170.3839999999996</v>
      </c>
      <c r="G22" s="37">
        <f>AVERAGE($B21:G21)</f>
        <v>3347.621666666666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9" spans="1:13" x14ac:dyDescent="0.2">
      <c r="E29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" x14ac:dyDescent="0.2"/>
  <cols>
    <col min="1" max="1" width="46.5703125" style="3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2.75" x14ac:dyDescent="0.2">
      <c r="A5" s="7" t="s">
        <v>20</v>
      </c>
      <c r="B5" s="30">
        <v>1500</v>
      </c>
      <c r="C5" s="30">
        <v>1500</v>
      </c>
      <c r="D5" s="30">
        <v>1500</v>
      </c>
      <c r="E5" s="30">
        <v>1500</v>
      </c>
      <c r="F5" s="30">
        <v>1500</v>
      </c>
      <c r="G5" s="30">
        <v>1500</v>
      </c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190.88</v>
      </c>
      <c r="C7" s="30">
        <v>290.74</v>
      </c>
      <c r="D7" s="30">
        <v>198.74</v>
      </c>
      <c r="E7" s="30">
        <v>210.4</v>
      </c>
      <c r="F7" s="30">
        <v>174.98</v>
      </c>
      <c r="G7" s="30">
        <v>228.88</v>
      </c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81.36</v>
      </c>
      <c r="C8" s="30">
        <v>81.36</v>
      </c>
      <c r="D8" s="30">
        <v>81.36</v>
      </c>
      <c r="E8" s="30">
        <v>81.36</v>
      </c>
      <c r="F8" s="30">
        <v>83.6</v>
      </c>
      <c r="G8" s="30">
        <v>81.36</v>
      </c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customHeight="1" x14ac:dyDescent="0.2">
      <c r="A10" s="31" t="s">
        <v>25</v>
      </c>
      <c r="B10" s="30">
        <v>126.94</v>
      </c>
      <c r="C10" s="30">
        <v>164.86</v>
      </c>
      <c r="D10" s="30">
        <v>147.72</v>
      </c>
      <c r="E10" s="30">
        <v>226.88</v>
      </c>
      <c r="F10" s="30">
        <v>172.81</v>
      </c>
      <c r="G10" s="30">
        <v>149.78</v>
      </c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2800</v>
      </c>
      <c r="C12" s="32">
        <v>2800</v>
      </c>
      <c r="D12" s="33">
        <v>2800</v>
      </c>
      <c r="E12" s="33">
        <v>2800</v>
      </c>
      <c r="F12" s="33">
        <v>2800</v>
      </c>
      <c r="G12" s="33">
        <v>2800</v>
      </c>
      <c r="H12" s="33"/>
      <c r="I12" s="34"/>
      <c r="J12" s="33"/>
      <c r="K12" s="33"/>
      <c r="L12" s="33"/>
      <c r="M12" s="33"/>
    </row>
    <row r="13" spans="1:13" s="12" customFormat="1" ht="12.75" x14ac:dyDescent="0.2">
      <c r="A13" s="8" t="s">
        <v>28</v>
      </c>
      <c r="B13" s="32">
        <v>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4699.18</v>
      </c>
      <c r="C19" s="28">
        <f t="shared" si="0"/>
        <v>4836.96</v>
      </c>
      <c r="D19" s="28">
        <f t="shared" si="0"/>
        <v>4727.82</v>
      </c>
      <c r="E19" s="28">
        <f t="shared" si="0"/>
        <v>4818.6399999999994</v>
      </c>
      <c r="F19" s="28">
        <f t="shared" si="0"/>
        <v>4731.3899999999994</v>
      </c>
      <c r="G19" s="28">
        <f t="shared" si="0"/>
        <v>4760.0200000000004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99.18</v>
      </c>
      <c r="C20" s="32">
        <v>236.96</v>
      </c>
      <c r="D20" s="32">
        <v>127.82</v>
      </c>
      <c r="E20" s="32">
        <f>1+3.69+0.1+213.85</f>
        <v>218.64</v>
      </c>
      <c r="F20" s="32">
        <v>131.38999999999999</v>
      </c>
      <c r="G20" s="32">
        <v>160.02000000000001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6" sqref="G26"/>
    </sheetView>
  </sheetViews>
  <sheetFormatPr defaultRowHeight="12.75" x14ac:dyDescent="0.2"/>
  <cols>
    <col min="1" max="1" width="57.28515625" style="13" customWidth="1"/>
    <col min="2" max="2" width="9.5703125" style="10" customWidth="1"/>
    <col min="3" max="3" width="9.42578125" style="10" customWidth="1"/>
    <col min="4" max="7" width="9" style="11" bestFit="1" customWidth="1"/>
    <col min="8" max="8" width="9" style="11" customWidth="1"/>
    <col min="9" max="9" width="9" style="11" bestFit="1" customWidth="1"/>
    <col min="10" max="10" width="11" style="11" customWidth="1"/>
    <col min="11" max="11" width="9" style="11" customWidth="1"/>
    <col min="12" max="12" width="9.28515625" style="11" customWidth="1"/>
    <col min="13" max="13" width="10.5703125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5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/>
      <c r="C5" s="30"/>
      <c r="D5" s="30">
        <v>400</v>
      </c>
      <c r="E5" s="30">
        <v>400</v>
      </c>
      <c r="F5" s="30">
        <v>400</v>
      </c>
      <c r="G5" s="30">
        <v>400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>
        <v>610</v>
      </c>
      <c r="G6" s="30">
        <v>610</v>
      </c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>
        <v>80</v>
      </c>
      <c r="E9" s="30">
        <v>80</v>
      </c>
      <c r="F9" s="30">
        <v>80</v>
      </c>
      <c r="G9" s="30">
        <v>80</v>
      </c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3520</v>
      </c>
      <c r="C12" s="32">
        <v>3520</v>
      </c>
      <c r="D12" s="33">
        <f>2160+1360</f>
        <v>3520</v>
      </c>
      <c r="E12" s="33">
        <f>2160+1360</f>
        <v>3520</v>
      </c>
      <c r="F12" s="33">
        <f>1360+2160</f>
        <v>3520</v>
      </c>
      <c r="G12" s="33">
        <f>1360+2160</f>
        <v>3520</v>
      </c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3520</v>
      </c>
      <c r="C19" s="28">
        <f t="shared" si="0"/>
        <v>3520</v>
      </c>
      <c r="D19" s="28">
        <f t="shared" si="0"/>
        <v>4000</v>
      </c>
      <c r="E19" s="28">
        <f t="shared" si="0"/>
        <v>4000</v>
      </c>
      <c r="F19" s="28">
        <f t="shared" si="0"/>
        <v>4610</v>
      </c>
      <c r="G19" s="28">
        <f t="shared" si="0"/>
        <v>4610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>
        <v>10</v>
      </c>
      <c r="G20" s="32">
        <v>10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3520</v>
      </c>
      <c r="C21" s="28">
        <f t="shared" si="1"/>
        <v>3520</v>
      </c>
      <c r="D21" s="28">
        <f t="shared" si="1"/>
        <v>4000</v>
      </c>
      <c r="E21" s="28">
        <f t="shared" si="1"/>
        <v>4000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3520</v>
      </c>
      <c r="C22" s="37">
        <f>AVERAGE($B21:C21)</f>
        <v>3520</v>
      </c>
      <c r="D22" s="37">
        <f>AVERAGE($B21:D21)</f>
        <v>3680</v>
      </c>
      <c r="E22" s="37">
        <f>AVERAGE($B21:E21)</f>
        <v>3760</v>
      </c>
      <c r="F22" s="37">
        <f>AVERAGE($B21:F21)</f>
        <v>3928</v>
      </c>
      <c r="G22" s="37">
        <f>AVERAGE($B21:G21)</f>
        <v>4040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G24" sqref="G24"/>
    </sheetView>
  </sheetViews>
  <sheetFormatPr defaultRowHeight="11.25" x14ac:dyDescent="0.2"/>
  <cols>
    <col min="1" max="1" width="61.85546875" style="4" customWidth="1"/>
    <col min="2" max="2" width="9.42578125" style="10" customWidth="1"/>
    <col min="3" max="3" width="9" style="10" bestFit="1" customWidth="1"/>
    <col min="4" max="7" width="9" style="11" bestFit="1" customWidth="1"/>
    <col min="8" max="8" width="9.140625" style="11" customWidth="1"/>
    <col min="9" max="9" width="9.42578125" style="11" customWidth="1"/>
    <col min="10" max="10" width="9" style="11" bestFit="1" customWidth="1"/>
    <col min="11" max="11" width="8.7109375" style="11" customWidth="1"/>
    <col min="12" max="12" width="9.7109375" style="11" customWidth="1"/>
    <col min="13" max="13" width="9.28515625" style="11" customWidth="1"/>
    <col min="14" max="16384" width="9.140625" style="4"/>
  </cols>
  <sheetData>
    <row r="1" spans="1:14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1.75" thickBot="1" x14ac:dyDescent="0.25">
      <c r="A2" s="48" t="s">
        <v>63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5" customFormat="1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ht="12.75" x14ac:dyDescent="0.2">
      <c r="A5" s="7" t="s">
        <v>20</v>
      </c>
      <c r="B5" s="30">
        <v>1324</v>
      </c>
      <c r="C5" s="30">
        <v>1324</v>
      </c>
      <c r="D5" s="30">
        <v>1324</v>
      </c>
      <c r="E5" s="30">
        <v>1324</v>
      </c>
      <c r="F5" s="30">
        <v>1324</v>
      </c>
      <c r="G5" s="30">
        <v>1324</v>
      </c>
      <c r="H5" s="30"/>
      <c r="I5" s="30"/>
      <c r="J5" s="30"/>
      <c r="K5" s="30"/>
      <c r="L5" s="30"/>
      <c r="M5" s="30"/>
    </row>
    <row r="6" spans="1:14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2.75" x14ac:dyDescent="0.2">
      <c r="A7" s="31" t="s">
        <v>22</v>
      </c>
      <c r="B7" s="30">
        <v>0</v>
      </c>
      <c r="C7" s="30"/>
      <c r="D7" s="30">
        <v>118.88</v>
      </c>
      <c r="E7" s="30">
        <v>113.82</v>
      </c>
      <c r="F7" s="30">
        <v>114.19</v>
      </c>
      <c r="G7" s="30">
        <v>106.33</v>
      </c>
      <c r="H7" s="30"/>
      <c r="I7" s="30"/>
      <c r="J7" s="30"/>
      <c r="K7" s="30"/>
      <c r="L7" s="30"/>
      <c r="M7" s="30"/>
    </row>
    <row r="8" spans="1:14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2.75" x14ac:dyDescent="0.2">
      <c r="A10" s="31" t="s">
        <v>25</v>
      </c>
      <c r="B10" s="30">
        <v>197.36</v>
      </c>
      <c r="C10" s="30">
        <v>195.93</v>
      </c>
      <c r="D10" s="30">
        <f>202.71+134.75</f>
        <v>337.46000000000004</v>
      </c>
      <c r="E10" s="30">
        <f>205.71+131.89</f>
        <v>337.6</v>
      </c>
      <c r="F10" s="30">
        <f>135.07+205.71</f>
        <v>340.78</v>
      </c>
      <c r="G10" s="30">
        <f>189.1+251.85</f>
        <v>440.95</v>
      </c>
      <c r="H10" s="30"/>
      <c r="I10" s="30"/>
      <c r="J10" s="30"/>
      <c r="K10" s="30"/>
      <c r="L10" s="30"/>
      <c r="M10" s="30"/>
    </row>
    <row r="11" spans="1:14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12" customFormat="1" ht="12.75" x14ac:dyDescent="0.2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24"/>
    </row>
    <row r="13" spans="1:14" s="6" customFormat="1" ht="12.75" x14ac:dyDescent="0.2">
      <c r="A13" s="8" t="s">
        <v>28</v>
      </c>
      <c r="B13" s="32">
        <v>2400.87</v>
      </c>
      <c r="C13" s="32">
        <f>1914.8+833.8</f>
        <v>2748.6</v>
      </c>
      <c r="D13" s="33">
        <f>1605.8+341.5</f>
        <v>1947.3</v>
      </c>
      <c r="E13" s="33"/>
      <c r="F13" s="33"/>
      <c r="G13" s="33"/>
      <c r="H13" s="33"/>
      <c r="I13" s="33"/>
      <c r="J13" s="33"/>
      <c r="K13" s="33"/>
      <c r="L13" s="33"/>
      <c r="M13" s="33"/>
    </row>
    <row r="14" spans="1:14" s="12" customFormat="1" ht="12.75" x14ac:dyDescent="0.2">
      <c r="A14" s="8" t="s">
        <v>29</v>
      </c>
      <c r="B14" s="32">
        <v>0</v>
      </c>
      <c r="C14" s="32"/>
      <c r="D14" s="33"/>
      <c r="E14" s="33"/>
      <c r="F14" s="33">
        <v>2000</v>
      </c>
      <c r="G14" s="33">
        <v>2000</v>
      </c>
      <c r="H14" s="33"/>
      <c r="I14" s="33"/>
      <c r="J14" s="33"/>
      <c r="K14" s="33"/>
      <c r="L14" s="33"/>
      <c r="M14" s="33"/>
    </row>
    <row r="15" spans="1:14" s="6" customFormat="1" ht="12.75" x14ac:dyDescent="0.2">
      <c r="A15" s="9" t="s">
        <v>30</v>
      </c>
      <c r="B15" s="32">
        <v>530</v>
      </c>
      <c r="C15" s="32">
        <v>280</v>
      </c>
      <c r="D15" s="32"/>
      <c r="E15" s="32">
        <f>180+150+280</f>
        <v>610</v>
      </c>
      <c r="F15" s="32">
        <f>150+156+280</f>
        <v>586</v>
      </c>
      <c r="G15" s="32">
        <f>280+350</f>
        <v>630</v>
      </c>
      <c r="H15" s="32"/>
      <c r="I15" s="32"/>
      <c r="J15" s="32"/>
      <c r="K15" s="32"/>
      <c r="L15" s="32"/>
      <c r="M15" s="32"/>
    </row>
    <row r="16" spans="1:14" s="6" customFormat="1" ht="12.7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4452.2299999999996</v>
      </c>
      <c r="C19" s="28">
        <f t="shared" si="0"/>
        <v>4548.53</v>
      </c>
      <c r="D19" s="28">
        <f t="shared" si="0"/>
        <v>3727.6400000000003</v>
      </c>
      <c r="E19" s="28">
        <f t="shared" si="0"/>
        <v>2385.42</v>
      </c>
      <c r="F19" s="28">
        <f t="shared" si="0"/>
        <v>4364.97</v>
      </c>
      <c r="G19" s="28">
        <f t="shared" si="0"/>
        <v>4501.28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f>2.82+2.86</f>
        <v>5.68</v>
      </c>
      <c r="E20" s="32">
        <v>1.94</v>
      </c>
      <c r="F20" s="32">
        <f>150+1.89+3.18+156</f>
        <v>311.07</v>
      </c>
      <c r="G20" s="32">
        <v>2.99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4452.2299999999996</v>
      </c>
      <c r="C21" s="28">
        <f t="shared" si="1"/>
        <v>4548.53</v>
      </c>
      <c r="D21" s="28">
        <f t="shared" si="1"/>
        <v>3721.9600000000005</v>
      </c>
      <c r="E21" s="28">
        <f t="shared" si="1"/>
        <v>2383.48</v>
      </c>
      <c r="F21" s="28">
        <f t="shared" si="1"/>
        <v>4053.9</v>
      </c>
      <c r="G21" s="28">
        <f t="shared" si="1"/>
        <v>4498.29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4452.2299999999996</v>
      </c>
      <c r="C22" s="37">
        <f>AVERAGE($B21:C21)</f>
        <v>4500.3799999999992</v>
      </c>
      <c r="D22" s="37">
        <f>AVERAGE($B21:D21)</f>
        <v>4240.9066666666668</v>
      </c>
      <c r="E22" s="37">
        <f>AVERAGE($B21:E21)</f>
        <v>3776.5499999999997</v>
      </c>
      <c r="F22" s="37">
        <f>AVERAGE($B21:F21)</f>
        <v>3832.0199999999995</v>
      </c>
      <c r="G22" s="37">
        <f>AVERAGE($B21:G21)</f>
        <v>3943.0650000000001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" x14ac:dyDescent="0.2"/>
  <cols>
    <col min="1" max="1" width="52.140625" style="3" customWidth="1"/>
    <col min="2" max="3" width="9" style="10" bestFit="1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8.7109375" style="11" customWidth="1"/>
    <col min="12" max="12" width="9.5703125" style="11" customWidth="1"/>
    <col min="13" max="13" width="9.28515625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4704</v>
      </c>
      <c r="C12" s="32">
        <v>4704</v>
      </c>
      <c r="D12" s="33"/>
      <c r="E12" s="33">
        <v>4704</v>
      </c>
      <c r="F12" s="33">
        <v>4704</v>
      </c>
      <c r="G12" s="33">
        <v>4704</v>
      </c>
      <c r="H12" s="33"/>
      <c r="I12" s="34"/>
      <c r="J12" s="33"/>
      <c r="K12" s="33"/>
      <c r="L12" s="33"/>
      <c r="M12" s="33"/>
    </row>
    <row r="13" spans="1:13" s="12" customFormat="1" ht="12.75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4704</v>
      </c>
      <c r="C19" s="28">
        <f>SUM(C5:C18)</f>
        <v>4704</v>
      </c>
      <c r="D19" s="28" t="s">
        <v>35</v>
      </c>
      <c r="E19" s="28">
        <f>SUM(E5:E18)</f>
        <v>4704</v>
      </c>
      <c r="F19" s="28">
        <f>SUM(F5:F18)</f>
        <v>4704</v>
      </c>
      <c r="G19" s="28">
        <f>SUM(G5:G18)</f>
        <v>4704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104</v>
      </c>
      <c r="C20" s="32">
        <v>104</v>
      </c>
      <c r="D20" s="32"/>
      <c r="E20" s="32">
        <v>104</v>
      </c>
      <c r="F20" s="32">
        <v>104</v>
      </c>
      <c r="G20" s="32">
        <v>104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>C19-C20</f>
        <v>4600</v>
      </c>
      <c r="D21" s="28">
        <v>0</v>
      </c>
      <c r="E21" s="28">
        <f>E19-E20</f>
        <v>4600</v>
      </c>
      <c r="F21" s="28">
        <f>F19-F20</f>
        <v>4600</v>
      </c>
      <c r="G21" s="28">
        <f>G19-G20</f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3833.3333333333335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58.28515625" style="21" customWidth="1"/>
    <col min="2" max="2" width="10.140625" style="15" customWidth="1"/>
    <col min="3" max="3" width="9" style="15" bestFit="1" customWidth="1"/>
    <col min="4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4620</v>
      </c>
      <c r="C12" s="32">
        <v>4312</v>
      </c>
      <c r="D12" s="32">
        <v>4620</v>
      </c>
      <c r="E12" s="33">
        <f>2310+2310</f>
        <v>4620</v>
      </c>
      <c r="F12" s="33">
        <v>4774</v>
      </c>
      <c r="G12" s="33">
        <v>4620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4620</v>
      </c>
      <c r="C19" s="28">
        <f t="shared" si="0"/>
        <v>4312</v>
      </c>
      <c r="D19" s="28">
        <f t="shared" si="0"/>
        <v>4620</v>
      </c>
      <c r="E19" s="28">
        <f t="shared" si="0"/>
        <v>4620</v>
      </c>
      <c r="F19" s="28">
        <f t="shared" si="0"/>
        <v>4774</v>
      </c>
      <c r="G19" s="28">
        <f t="shared" si="0"/>
        <v>4620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20</v>
      </c>
      <c r="C20" s="32"/>
      <c r="D20" s="32">
        <v>20</v>
      </c>
      <c r="E20" s="32">
        <v>20</v>
      </c>
      <c r="F20" s="32">
        <v>174</v>
      </c>
      <c r="G20" s="32">
        <v>20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4312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4456</v>
      </c>
      <c r="D22" s="37">
        <f>AVERAGE($B21:D21)</f>
        <v>4504</v>
      </c>
      <c r="E22" s="37">
        <f>AVERAGE($B21:E21)</f>
        <v>4528</v>
      </c>
      <c r="F22" s="37">
        <f>AVERAGE($B21:F21)</f>
        <v>4542.3999999999996</v>
      </c>
      <c r="G22" s="37">
        <f>AVERAGE($B21:G21)</f>
        <v>4552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E24" sqref="E24"/>
    </sheetView>
  </sheetViews>
  <sheetFormatPr defaultRowHeight="12.75" x14ac:dyDescent="0.2"/>
  <cols>
    <col min="1" max="1" width="60.7109375" style="21" customWidth="1"/>
    <col min="2" max="2" width="9.28515625" style="15" customWidth="1"/>
    <col min="3" max="3" width="7.5703125" style="15" customWidth="1"/>
    <col min="4" max="4" width="7.85546875" style="16" customWidth="1"/>
    <col min="5" max="5" width="8.7109375" style="16" customWidth="1"/>
    <col min="6" max="6" width="7.7109375" style="16" customWidth="1"/>
    <col min="7" max="7" width="7.85546875" style="16" customWidth="1"/>
    <col min="8" max="8" width="7.7109375" style="16" customWidth="1"/>
    <col min="9" max="10" width="8.28515625" style="16" customWidth="1"/>
    <col min="11" max="11" width="9" style="16" customWidth="1"/>
    <col min="12" max="12" width="8.42578125" style="16" customWidth="1"/>
    <col min="13" max="13" width="8.140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149.97999999999999</v>
      </c>
      <c r="C10" s="30">
        <v>149.97999999999999</v>
      </c>
      <c r="D10" s="30">
        <v>148.55000000000001</v>
      </c>
      <c r="E10" s="30">
        <v>156.82</v>
      </c>
      <c r="F10" s="30">
        <v>142.81</v>
      </c>
      <c r="G10" s="30">
        <v>143.16999999999999</v>
      </c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>
        <v>53.7</v>
      </c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45">
        <v>125</v>
      </c>
      <c r="C18" s="30"/>
      <c r="D18" s="30"/>
      <c r="E18" s="30">
        <v>1160</v>
      </c>
      <c r="F18" s="30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46">
        <f t="shared" ref="B19:G19" si="0">SUM(B5:B18)</f>
        <v>274.98</v>
      </c>
      <c r="C19" s="46">
        <f t="shared" si="0"/>
        <v>149.97999999999999</v>
      </c>
      <c r="D19" s="46">
        <f t="shared" si="0"/>
        <v>148.55000000000001</v>
      </c>
      <c r="E19" s="46">
        <f t="shared" si="0"/>
        <v>1316.82</v>
      </c>
      <c r="F19" s="46">
        <f t="shared" si="0"/>
        <v>142.81</v>
      </c>
      <c r="G19" s="46">
        <f t="shared" si="0"/>
        <v>196.87</v>
      </c>
      <c r="H19" s="28"/>
      <c r="I19" s="28"/>
      <c r="J19" s="28"/>
      <c r="K19" s="28"/>
      <c r="L19" s="28"/>
      <c r="M19" s="28"/>
    </row>
    <row r="20" spans="1:14" ht="13.5" thickBot="1" x14ac:dyDescent="0.25">
      <c r="A20" s="36" t="s">
        <v>14</v>
      </c>
      <c r="B20" s="29">
        <v>0</v>
      </c>
      <c r="C20" s="32"/>
      <c r="D20" s="32"/>
      <c r="E20" s="32">
        <v>6.84</v>
      </c>
      <c r="F20" s="32"/>
      <c r="G20" s="32">
        <v>54.32</v>
      </c>
      <c r="H20" s="32"/>
      <c r="I20" s="32"/>
      <c r="J20" s="32"/>
      <c r="K20" s="32"/>
      <c r="L20" s="32"/>
      <c r="M20" s="32"/>
    </row>
    <row r="21" spans="1:14" ht="13.5" thickBot="1" x14ac:dyDescent="0.25">
      <c r="A21" s="27" t="s">
        <v>15</v>
      </c>
      <c r="B21" s="28">
        <f t="shared" ref="B21:G21" si="1">B19-B20</f>
        <v>274.98</v>
      </c>
      <c r="C21" s="28">
        <f t="shared" si="1"/>
        <v>149.97999999999999</v>
      </c>
      <c r="D21" s="28">
        <f t="shared" si="1"/>
        <v>148.55000000000001</v>
      </c>
      <c r="E21" s="28">
        <f t="shared" si="1"/>
        <v>1309.98</v>
      </c>
      <c r="F21" s="28">
        <f t="shared" si="1"/>
        <v>142.81</v>
      </c>
      <c r="G21" s="28">
        <f t="shared" si="1"/>
        <v>142.55000000000001</v>
      </c>
      <c r="H21" s="28"/>
      <c r="I21" s="28"/>
      <c r="J21" s="28"/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274.98</v>
      </c>
      <c r="C22" s="37">
        <f>AVERAGE($B21:C21)</f>
        <v>212.48000000000002</v>
      </c>
      <c r="D22" s="37">
        <f>AVERAGE($B21:D21)</f>
        <v>191.17</v>
      </c>
      <c r="E22" s="37">
        <f>AVERAGE($B21:E21)</f>
        <v>470.8725</v>
      </c>
      <c r="F22" s="37">
        <f>AVERAGE($B21:F21)</f>
        <v>405.26</v>
      </c>
      <c r="G22" s="37">
        <f>AVERAGE($B21:G21)</f>
        <v>361.47499999999997</v>
      </c>
      <c r="H22" s="37"/>
      <c r="I22" s="37"/>
      <c r="J22" s="37"/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  <c r="N24" s="18" t="s">
        <v>39</v>
      </c>
    </row>
    <row r="26" spans="1:14" x14ac:dyDescent="0.2">
      <c r="A26" s="21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51" style="2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3720</v>
      </c>
      <c r="C12" s="32">
        <v>3360</v>
      </c>
      <c r="D12" s="33">
        <v>3720</v>
      </c>
      <c r="E12" s="33">
        <v>3600</v>
      </c>
      <c r="F12" s="33">
        <v>3720</v>
      </c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880</v>
      </c>
      <c r="C15" s="30">
        <v>886.6</v>
      </c>
      <c r="D15" s="30"/>
      <c r="E15" s="30">
        <v>1014.6</v>
      </c>
      <c r="F15" s="30">
        <v>884.45</v>
      </c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>
        <v>885</v>
      </c>
      <c r="E18" s="32"/>
      <c r="F18" s="30"/>
      <c r="G18" s="32">
        <v>3260</v>
      </c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4600</v>
      </c>
      <c r="C19" s="28">
        <f t="shared" si="0"/>
        <v>4246.6000000000004</v>
      </c>
      <c r="D19" s="28">
        <f t="shared" si="0"/>
        <v>4605</v>
      </c>
      <c r="E19" s="28">
        <f t="shared" si="0"/>
        <v>4614.6000000000004</v>
      </c>
      <c r="F19" s="28">
        <f t="shared" si="0"/>
        <v>4604.45</v>
      </c>
      <c r="G19" s="28">
        <f t="shared" si="0"/>
        <v>3260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5</v>
      </c>
      <c r="E20" s="32">
        <v>14.6</v>
      </c>
      <c r="F20" s="32">
        <v>4.45</v>
      </c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4246.6000000000004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3260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4423.3</v>
      </c>
      <c r="D22" s="37">
        <f>AVERAGE($B21:D21)</f>
        <v>4482.2</v>
      </c>
      <c r="E22" s="37">
        <f>AVERAGE($B21:E21)</f>
        <v>4511.6499999999996</v>
      </c>
      <c r="F22" s="37">
        <f>AVERAGE($B21:F21)</f>
        <v>4529.32</v>
      </c>
      <c r="G22" s="37">
        <f>AVERAGE($B21:G21)</f>
        <v>4317.7666666666664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 t="s">
        <v>80</v>
      </c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Normal="100" workbookViewId="0">
      <selection activeCell="G29" sqref="G29"/>
    </sheetView>
  </sheetViews>
  <sheetFormatPr defaultRowHeight="12.75" x14ac:dyDescent="0.2"/>
  <cols>
    <col min="1" max="1" width="57.42578125" style="2" customWidth="1"/>
    <col min="2" max="2" width="9.28515625" style="10" customWidth="1"/>
    <col min="3" max="3" width="10" style="10" customWidth="1"/>
    <col min="4" max="4" width="9.28515625" style="11" customWidth="1"/>
    <col min="5" max="5" width="10.28515625" style="11" bestFit="1" customWidth="1"/>
    <col min="6" max="7" width="9" style="11" bestFit="1" customWidth="1"/>
    <col min="8" max="9" width="8.7109375" style="11" customWidth="1"/>
    <col min="10" max="10" width="8.85546875" style="11" customWidth="1"/>
    <col min="11" max="11" width="9.28515625" style="11" customWidth="1"/>
    <col min="12" max="12" width="9" style="11" customWidth="1"/>
    <col min="13" max="13" width="8.7109375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5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/>
      <c r="C12" s="32">
        <v>4200</v>
      </c>
      <c r="D12" s="33">
        <v>4200</v>
      </c>
      <c r="E12" s="33">
        <v>4200</v>
      </c>
      <c r="F12" s="33">
        <v>4200</v>
      </c>
      <c r="G12" s="33">
        <v>4200</v>
      </c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>SUM(C5:C18)</f>
        <v>4200</v>
      </c>
      <c r="D19" s="28">
        <f>SUM(D5:D18)</f>
        <v>4200</v>
      </c>
      <c r="E19" s="28">
        <f>SUM(E5:E18)</f>
        <v>4200</v>
      </c>
      <c r="F19" s="28">
        <f>SUM(F5:F18)</f>
        <v>4200</v>
      </c>
      <c r="G19" s="28">
        <f>SUM(G5:G18)</f>
        <v>4200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 t="s">
        <v>35</v>
      </c>
      <c r="C21" s="28">
        <f>C19-C20</f>
        <v>4200</v>
      </c>
      <c r="D21" s="28">
        <f>D19-D20</f>
        <v>4200</v>
      </c>
      <c r="E21" s="28">
        <f>E19-E20</f>
        <v>4200</v>
      </c>
      <c r="F21" s="28">
        <f>F19-F20</f>
        <v>4200</v>
      </c>
      <c r="G21" s="28">
        <f>G19-G20</f>
        <v>4200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v>0</v>
      </c>
      <c r="C22" s="37">
        <f>AVERAGE($B21:C21)</f>
        <v>4200</v>
      </c>
      <c r="D22" s="37">
        <f>AVERAGE($B21:D21)</f>
        <v>4200</v>
      </c>
      <c r="E22" s="37">
        <f>AVERAGE($B21:E21)</f>
        <v>4200</v>
      </c>
      <c r="F22" s="37">
        <f>AVERAGE($B21:F21)</f>
        <v>4200</v>
      </c>
      <c r="G22" s="37">
        <f>AVERAGE($B21:G21)</f>
        <v>4200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21" sqref="I21"/>
    </sheetView>
  </sheetViews>
  <sheetFormatPr defaultRowHeight="12.75" x14ac:dyDescent="0.2"/>
  <cols>
    <col min="1" max="1" width="59.140625" style="21" customWidth="1"/>
    <col min="2" max="3" width="9" style="15" bestFit="1" customWidth="1"/>
    <col min="4" max="9" width="9" style="16" bestFit="1" customWidth="1"/>
    <col min="10" max="10" width="9.42578125" style="16" customWidth="1"/>
    <col min="11" max="11" width="9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2500</v>
      </c>
      <c r="C5" s="30">
        <v>2500</v>
      </c>
      <c r="D5" s="30">
        <v>2500</v>
      </c>
      <c r="E5" s="30">
        <v>2500</v>
      </c>
      <c r="F5" s="30">
        <v>2500</v>
      </c>
      <c r="G5" s="30">
        <v>2500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592.32000000000005</v>
      </c>
      <c r="C7" s="30">
        <v>363.29</v>
      </c>
      <c r="D7" s="30">
        <v>461.07</v>
      </c>
      <c r="E7" s="30">
        <v>596.59</v>
      </c>
      <c r="F7" s="30">
        <v>493.47</v>
      </c>
      <c r="G7" s="30">
        <v>586.16999999999996</v>
      </c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42</v>
      </c>
      <c r="C8" s="30">
        <v>40.18</v>
      </c>
      <c r="D8" s="30">
        <v>41.6</v>
      </c>
      <c r="E8" s="30">
        <v>41.3</v>
      </c>
      <c r="F8" s="30">
        <v>42.3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549.9</v>
      </c>
      <c r="C9" s="30">
        <v>549.9</v>
      </c>
      <c r="D9" s="30">
        <v>549.9</v>
      </c>
      <c r="E9" s="30">
        <v>549.9</v>
      </c>
      <c r="F9" s="30">
        <f>549.9+435.42</f>
        <v>985.31999999999994</v>
      </c>
      <c r="G9" s="30">
        <v>549.9</v>
      </c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283.35000000000002</v>
      </c>
      <c r="C10" s="30">
        <v>338.38</v>
      </c>
      <c r="D10" s="30">
        <v>339.21</v>
      </c>
      <c r="E10" s="30">
        <v>329.81</v>
      </c>
      <c r="F10" s="30">
        <v>354.26</v>
      </c>
      <c r="G10" s="30">
        <v>496.2</v>
      </c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107.5</v>
      </c>
      <c r="D15" s="32">
        <f>199.5+99.5</f>
        <v>299</v>
      </c>
      <c r="E15" s="32">
        <v>99.6</v>
      </c>
      <c r="F15" s="32">
        <v>99.2</v>
      </c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650</v>
      </c>
      <c r="C18" s="35">
        <v>700</v>
      </c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4617.57</v>
      </c>
      <c r="C19" s="28">
        <f t="shared" si="0"/>
        <v>4599.25</v>
      </c>
      <c r="D19" s="28">
        <f t="shared" si="0"/>
        <v>4190.7800000000007</v>
      </c>
      <c r="E19" s="28">
        <f t="shared" si="0"/>
        <v>4117.2000000000007</v>
      </c>
      <c r="F19" s="28">
        <f t="shared" si="0"/>
        <v>4474.55</v>
      </c>
      <c r="G19" s="28">
        <f t="shared" si="0"/>
        <v>4132.2700000000004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18.22</v>
      </c>
      <c r="C20" s="32"/>
      <c r="D20" s="32">
        <f>99.5+1.42</f>
        <v>100.92</v>
      </c>
      <c r="E20" s="32">
        <v>19.68</v>
      </c>
      <c r="F20" s="32">
        <v>115.98</v>
      </c>
      <c r="G20" s="32">
        <v>12.06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4599.3499999999995</v>
      </c>
      <c r="C21" s="28">
        <f t="shared" si="1"/>
        <v>4599.25</v>
      </c>
      <c r="D21" s="28">
        <f t="shared" si="1"/>
        <v>4089.8600000000006</v>
      </c>
      <c r="E21" s="28">
        <f t="shared" si="1"/>
        <v>4097.5200000000004</v>
      </c>
      <c r="F21" s="28">
        <f t="shared" si="1"/>
        <v>4358.5700000000006</v>
      </c>
      <c r="G21" s="28">
        <f t="shared" si="1"/>
        <v>4120.21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4599.3499999999995</v>
      </c>
      <c r="C22" s="37">
        <f>AVERAGE($B21:C21)</f>
        <v>4599.2999999999993</v>
      </c>
      <c r="D22" s="37">
        <f>AVERAGE($B21:D21)</f>
        <v>4429.4866666666667</v>
      </c>
      <c r="E22" s="37">
        <f>AVERAGE($B21:E21)</f>
        <v>4346.4949999999999</v>
      </c>
      <c r="F22" s="37">
        <f>AVERAGE($B21:F21)</f>
        <v>4348.91</v>
      </c>
      <c r="G22" s="37">
        <f>AVERAGE($B21:G21)</f>
        <v>4310.7933333333331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G24" sqref="G24"/>
    </sheetView>
  </sheetViews>
  <sheetFormatPr defaultRowHeight="12.75" x14ac:dyDescent="0.2"/>
  <cols>
    <col min="1" max="1" width="68.85546875" style="2" customWidth="1"/>
    <col min="2" max="2" width="9.28515625" style="10" customWidth="1"/>
    <col min="3" max="3" width="10.42578125" style="10" customWidth="1"/>
    <col min="4" max="4" width="11.140625" style="11" customWidth="1"/>
    <col min="5" max="5" width="9" style="11" bestFit="1" customWidth="1"/>
    <col min="6" max="6" width="10.85546875" style="11" customWidth="1"/>
    <col min="7" max="7" width="9.28515625" style="11" customWidth="1"/>
    <col min="8" max="8" width="9.42578125" style="11" customWidth="1"/>
    <col min="9" max="9" width="9" style="11" bestFit="1" customWidth="1"/>
    <col min="10" max="10" width="9.7109375" style="11" customWidth="1"/>
    <col min="11" max="11" width="9.5703125" style="11" customWidth="1"/>
    <col min="12" max="12" width="11.7109375" style="11" customWidth="1"/>
    <col min="13" max="13" width="13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5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/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12" customFormat="1" x14ac:dyDescent="0.2">
      <c r="A15" s="9" t="s">
        <v>30</v>
      </c>
      <c r="B15" s="32"/>
      <c r="C15" s="32">
        <f>92.55+249.67</f>
        <v>342.21999999999997</v>
      </c>
      <c r="D15" s="32">
        <f>663.34+960.25</f>
        <v>1623.5900000000001</v>
      </c>
      <c r="E15" s="32"/>
      <c r="F15" s="32">
        <f>496.8+479.4</f>
        <v>976.2</v>
      </c>
      <c r="G15" s="32">
        <v>872.8</v>
      </c>
      <c r="H15" s="32"/>
      <c r="I15" s="32"/>
      <c r="J15" s="32"/>
      <c r="K15" s="32"/>
      <c r="L15" s="32"/>
      <c r="M15" s="32"/>
    </row>
    <row r="16" spans="1:13" s="6" customFormat="1" x14ac:dyDescent="0.2">
      <c r="A16" s="8" t="s">
        <v>31</v>
      </c>
      <c r="B16" s="32"/>
      <c r="C16" s="30">
        <v>1189.9000000000001</v>
      </c>
      <c r="D16" s="33"/>
      <c r="E16" s="33">
        <v>892.8</v>
      </c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0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>SUM(C5:C18)</f>
        <v>1532.1200000000001</v>
      </c>
      <c r="D19" s="28">
        <f>SUM(D5:D18)</f>
        <v>1623.5900000000001</v>
      </c>
      <c r="E19" s="28">
        <f>SUM(E5:E18)</f>
        <v>892.8</v>
      </c>
      <c r="F19" s="28">
        <f>SUM(F5:F18)</f>
        <v>976.2</v>
      </c>
      <c r="G19" s="28">
        <f>SUM(G5:G18)</f>
        <v>872.8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>
        <v>663.34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f>C19-C20</f>
        <v>1532.1200000000001</v>
      </c>
      <c r="D21" s="28">
        <f>D19-D20</f>
        <v>960.25000000000011</v>
      </c>
      <c r="E21" s="28">
        <f>E19-E20</f>
        <v>892.8</v>
      </c>
      <c r="F21" s="28">
        <f>F19-F20</f>
        <v>976.2</v>
      </c>
      <c r="G21" s="28">
        <f>G19-G20</f>
        <v>872.8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>
        <f>AVERAGE($B21:C21)</f>
        <v>766.06000000000006</v>
      </c>
      <c r="D22" s="37">
        <f>AVERAGE($B21:D21)</f>
        <v>830.79000000000008</v>
      </c>
      <c r="E22" s="37">
        <f>AVERAGE($B21:E21)</f>
        <v>846.29250000000002</v>
      </c>
      <c r="F22" s="37">
        <f>AVERAGE($B21:F21)</f>
        <v>872.274</v>
      </c>
      <c r="G22" s="37">
        <f>AVERAGE($B21:G21)</f>
        <v>872.36166666666668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B25" s="10" t="s">
        <v>18</v>
      </c>
    </row>
    <row r="33" spans="13:13" x14ac:dyDescent="0.2">
      <c r="M33" s="11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64.5703125" style="21" customWidth="1"/>
    <col min="2" max="2" width="10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900</v>
      </c>
      <c r="C5" s="30">
        <v>900</v>
      </c>
      <c r="D5" s="30">
        <v>900</v>
      </c>
      <c r="E5" s="30">
        <v>900</v>
      </c>
      <c r="F5" s="30">
        <v>900</v>
      </c>
      <c r="G5" s="30">
        <v>900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>
        <v>206.11</v>
      </c>
      <c r="F7" s="30"/>
      <c r="G7" s="30">
        <v>170.08</v>
      </c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3915</v>
      </c>
      <c r="C12" s="30">
        <f>2380+1280</f>
        <v>3660</v>
      </c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>
        <v>4450</v>
      </c>
      <c r="E14" s="33">
        <v>3400</v>
      </c>
      <c r="F14" s="33">
        <v>3600</v>
      </c>
      <c r="G14" s="33">
        <v>3500</v>
      </c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4815</v>
      </c>
      <c r="C19" s="28">
        <f t="shared" si="0"/>
        <v>4560</v>
      </c>
      <c r="D19" s="28">
        <f t="shared" si="0"/>
        <v>5350</v>
      </c>
      <c r="E19" s="28">
        <f t="shared" si="0"/>
        <v>4506.1100000000006</v>
      </c>
      <c r="F19" s="28">
        <f t="shared" si="0"/>
        <v>4500</v>
      </c>
      <c r="G19" s="28">
        <f t="shared" si="0"/>
        <v>4570.08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215</v>
      </c>
      <c r="C20" s="32"/>
      <c r="D20" s="32">
        <v>750</v>
      </c>
      <c r="E20" s="32">
        <v>9</v>
      </c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4560</v>
      </c>
      <c r="D21" s="28">
        <f t="shared" si="1"/>
        <v>4600</v>
      </c>
      <c r="E21" s="28">
        <f t="shared" si="1"/>
        <v>4497.1100000000006</v>
      </c>
      <c r="F21" s="28">
        <f t="shared" si="1"/>
        <v>4500</v>
      </c>
      <c r="G21" s="28">
        <f t="shared" si="1"/>
        <v>4570.08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4580</v>
      </c>
      <c r="D22" s="37">
        <f>AVERAGE($B21:D21)</f>
        <v>4586.666666666667</v>
      </c>
      <c r="E22" s="37">
        <f>AVERAGE($B21:E21)</f>
        <v>4564.2775000000001</v>
      </c>
      <c r="F22" s="37">
        <f>AVERAGE($B21:F21)</f>
        <v>4551.4220000000005</v>
      </c>
      <c r="G22" s="37">
        <f>AVERAGE($B21:G21)</f>
        <v>4554.5316666666668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9" sqref="F29"/>
    </sheetView>
  </sheetViews>
  <sheetFormatPr defaultRowHeight="12.75" x14ac:dyDescent="0.2"/>
  <cols>
    <col min="1" max="1" width="60.7109375" style="21" customWidth="1"/>
    <col min="2" max="3" width="9" style="15" bestFit="1" customWidth="1"/>
    <col min="4" max="7" width="9" style="16" bestFit="1" customWidth="1"/>
    <col min="8" max="8" width="8.85546875" style="16" bestFit="1" customWidth="1"/>
    <col min="9" max="10" width="9" style="16" bestFit="1" customWidth="1"/>
    <col min="11" max="11" width="8.85546875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4000</v>
      </c>
      <c r="C5" s="30">
        <v>4000</v>
      </c>
      <c r="D5" s="30">
        <v>4000</v>
      </c>
      <c r="E5" s="30">
        <v>4000</v>
      </c>
      <c r="F5" s="30">
        <v>4000</v>
      </c>
      <c r="G5" s="30">
        <v>4000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318.62</v>
      </c>
      <c r="C7" s="30">
        <v>562.55999999999995</v>
      </c>
      <c r="D7" s="30">
        <v>463.6</v>
      </c>
      <c r="E7" s="30">
        <v>537.28</v>
      </c>
      <c r="F7" s="30">
        <v>604.84</v>
      </c>
      <c r="G7" s="30">
        <v>945.72</v>
      </c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179.78</v>
      </c>
      <c r="C8" s="30">
        <v>179.78</v>
      </c>
      <c r="D8" s="30">
        <v>90.87</v>
      </c>
      <c r="E8" s="30">
        <v>158.9</v>
      </c>
      <c r="F8" s="30">
        <v>209.94</v>
      </c>
      <c r="G8" s="30">
        <v>89.7</v>
      </c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368.52</v>
      </c>
      <c r="C9" s="30">
        <v>368.52</v>
      </c>
      <c r="D9" s="30">
        <v>368.52</v>
      </c>
      <c r="E9" s="30">
        <v>368.52</v>
      </c>
      <c r="F9" s="30">
        <v>368.52</v>
      </c>
      <c r="G9" s="30">
        <v>368.52</v>
      </c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153.58000000000001</v>
      </c>
      <c r="C10" s="30">
        <v>368.44</v>
      </c>
      <c r="D10" s="30">
        <v>362.76</v>
      </c>
      <c r="E10" s="30">
        <v>539.34</v>
      </c>
      <c r="F10" s="30">
        <v>273.41000000000003</v>
      </c>
      <c r="G10" s="30">
        <v>586.65</v>
      </c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2"/>
      <c r="C11" s="32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/>
      <c r="C12" s="32">
        <v>0</v>
      </c>
      <c r="D12" s="30">
        <v>0</v>
      </c>
      <c r="E12" s="30">
        <v>0</v>
      </c>
      <c r="F12" s="30">
        <v>0</v>
      </c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0">
        <v>0</v>
      </c>
      <c r="E14" s="30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0">
        <v>0</v>
      </c>
      <c r="E15" s="32" t="s">
        <v>37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0">
        <v>0</v>
      </c>
      <c r="E16" s="33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0">
        <v>0</v>
      </c>
      <c r="E17" s="33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>
        <v>0</v>
      </c>
      <c r="D18" s="30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5020.5</v>
      </c>
      <c r="C19" s="28">
        <f t="shared" si="0"/>
        <v>5479.2999999999984</v>
      </c>
      <c r="D19" s="28">
        <f t="shared" si="0"/>
        <v>5285.75</v>
      </c>
      <c r="E19" s="28">
        <f t="shared" si="0"/>
        <v>5604.0399999999991</v>
      </c>
      <c r="F19" s="28">
        <f t="shared" si="0"/>
        <v>5456.7099999999991</v>
      </c>
      <c r="G19" s="28">
        <f t="shared" si="0"/>
        <v>5990.59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420.5</v>
      </c>
      <c r="C20" s="32">
        <v>879.3</v>
      </c>
      <c r="D20" s="32">
        <f>4.59+14.07+667.09</f>
        <v>685.75</v>
      </c>
      <c r="E20" s="32">
        <f>9.74+2.74+991.56</f>
        <v>1004.04</v>
      </c>
      <c r="F20" s="32">
        <v>856.71</v>
      </c>
      <c r="G20" s="32">
        <v>1390.59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 t="shared" ref="C21:M21" si="1">C19-C20</f>
        <v>4599.9999999999982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4599.9999999999991</v>
      </c>
      <c r="D22" s="37">
        <f>AVERAGE($B21:D21)</f>
        <v>4599.9999999999991</v>
      </c>
      <c r="E22" s="37">
        <f>AVERAGE($B21:E21)</f>
        <v>4599.9999999999991</v>
      </c>
      <c r="F22" s="37">
        <f>AVERAGE($B21:F21)</f>
        <v>4599.9999999999991</v>
      </c>
      <c r="G22" s="37">
        <f>AVERAGE($B21:G21)</f>
        <v>4599.9999999999991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5" sqref="G25"/>
    </sheetView>
  </sheetViews>
  <sheetFormatPr defaultRowHeight="12.75" x14ac:dyDescent="0.2"/>
  <cols>
    <col min="1" max="1" width="56.42578125" style="2" customWidth="1"/>
    <col min="2" max="2" width="10.140625" style="10" customWidth="1"/>
    <col min="3" max="3" width="9" style="10" customWidth="1"/>
    <col min="4" max="9" width="9" style="11" bestFit="1" customWidth="1"/>
    <col min="10" max="10" width="10" style="11" bestFit="1" customWidth="1"/>
    <col min="11" max="11" width="8.7109375" style="11" customWidth="1"/>
    <col min="12" max="12" width="9" style="11" customWidth="1"/>
    <col min="13" max="13" width="9.5703125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5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0</v>
      </c>
      <c r="C12" s="32">
        <v>0</v>
      </c>
      <c r="D12" s="32">
        <v>0</v>
      </c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3"/>
    </row>
    <row r="14" spans="1:13" s="1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0">
        <v>2500</v>
      </c>
      <c r="G14" s="32">
        <v>2500</v>
      </c>
      <c r="H14" s="32">
        <v>0</v>
      </c>
      <c r="I14" s="32">
        <v>0</v>
      </c>
      <c r="J14" s="30">
        <v>0</v>
      </c>
      <c r="K14" s="30">
        <v>0</v>
      </c>
      <c r="L14" s="32">
        <v>0</v>
      </c>
      <c r="M14" s="33"/>
    </row>
    <row r="15" spans="1:13" s="6" customFormat="1" x14ac:dyDescent="0.2">
      <c r="A15" s="9" t="s">
        <v>30</v>
      </c>
      <c r="B15" s="35">
        <v>1769.04</v>
      </c>
      <c r="C15" s="32">
        <f>339.74+167.82+125.9+1180.03</f>
        <v>1813.49</v>
      </c>
      <c r="D15" s="32">
        <f>154.1+477.78+147.15+260+347.97</f>
        <v>1387</v>
      </c>
      <c r="E15" s="32">
        <v>398.15</v>
      </c>
      <c r="F15" s="32">
        <f>539.25+195.1+144</f>
        <v>878.35</v>
      </c>
      <c r="G15" s="32">
        <f>262.4+178.9+304.35</f>
        <v>745.65</v>
      </c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0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10">
        <v>1400</v>
      </c>
      <c r="C18" s="32">
        <v>2460</v>
      </c>
      <c r="D18" s="32">
        <v>1532</v>
      </c>
      <c r="E18" s="32">
        <v>2130</v>
      </c>
      <c r="F18" s="32">
        <v>1680</v>
      </c>
      <c r="G18" s="32">
        <v>1220</v>
      </c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3169.04</v>
      </c>
      <c r="C19" s="28">
        <f t="shared" si="0"/>
        <v>4273.49</v>
      </c>
      <c r="D19" s="28">
        <f t="shared" si="0"/>
        <v>2919</v>
      </c>
      <c r="E19" s="28">
        <f t="shared" si="0"/>
        <v>2528.15</v>
      </c>
      <c r="F19" s="28">
        <f t="shared" si="0"/>
        <v>5058.3500000000004</v>
      </c>
      <c r="G19" s="28">
        <f t="shared" si="0"/>
        <v>4465.6499999999996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132</v>
      </c>
      <c r="D20" s="32">
        <f>477.78+347.97</f>
        <v>825.75</v>
      </c>
      <c r="E20" s="32"/>
      <c r="F20" s="32">
        <v>458.35</v>
      </c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3169.04</v>
      </c>
      <c r="C21" s="28">
        <f t="shared" ref="C21:M21" si="1">C19-C20</f>
        <v>4141.49</v>
      </c>
      <c r="D21" s="28">
        <f t="shared" si="1"/>
        <v>2093.25</v>
      </c>
      <c r="E21" s="28">
        <f t="shared" si="1"/>
        <v>2528.15</v>
      </c>
      <c r="F21" s="28">
        <f t="shared" si="1"/>
        <v>4600</v>
      </c>
      <c r="G21" s="28">
        <f t="shared" si="1"/>
        <v>4465.6499999999996</v>
      </c>
      <c r="H21" s="28">
        <f t="shared" si="1"/>
        <v>0</v>
      </c>
      <c r="I21" s="28"/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3169.04</v>
      </c>
      <c r="C22" s="37">
        <f>AVERAGE($B21:C21)</f>
        <v>3655.2649999999999</v>
      </c>
      <c r="D22" s="37">
        <f>AVERAGE($B21:D21)</f>
        <v>3134.5933333333328</v>
      </c>
      <c r="E22" s="37">
        <f>AVERAGE($B21:E21)</f>
        <v>2982.9824999999996</v>
      </c>
      <c r="F22" s="37">
        <f>AVERAGE($B21:F21)</f>
        <v>3306.386</v>
      </c>
      <c r="G22" s="37">
        <f>AVERAGE($B21:G21)</f>
        <v>3499.5966666666668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63.28515625" style="21" customWidth="1"/>
    <col min="2" max="3" width="9" style="15" bestFit="1" customWidth="1"/>
    <col min="4" max="10" width="9" style="16" bestFit="1" customWidth="1"/>
    <col min="11" max="11" width="9" style="16" customWidth="1"/>
    <col min="12" max="12" width="9" style="16" bestFit="1" customWidth="1"/>
    <col min="13" max="13" width="9.28515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3200</v>
      </c>
      <c r="C5" s="30">
        <v>3200</v>
      </c>
      <c r="D5" s="30">
        <v>3200</v>
      </c>
      <c r="E5" s="30">
        <v>3200</v>
      </c>
      <c r="F5" s="30">
        <v>3200</v>
      </c>
      <c r="G5" s="30">
        <v>3200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1400</v>
      </c>
      <c r="C12" s="32">
        <v>1400</v>
      </c>
      <c r="D12" s="32">
        <v>1400</v>
      </c>
      <c r="E12" s="33">
        <v>1400</v>
      </c>
      <c r="F12" s="33">
        <v>1400</v>
      </c>
      <c r="G12" s="33">
        <v>1400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4600</v>
      </c>
      <c r="C19" s="28">
        <f t="shared" si="0"/>
        <v>4600</v>
      </c>
      <c r="D19" s="28">
        <f t="shared" si="0"/>
        <v>4600</v>
      </c>
      <c r="E19" s="28">
        <f t="shared" si="0"/>
        <v>4600</v>
      </c>
      <c r="F19" s="28">
        <f t="shared" si="0"/>
        <v>4600</v>
      </c>
      <c r="G19" s="28">
        <f t="shared" si="0"/>
        <v>4600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I27" sqref="I27"/>
    </sheetView>
  </sheetViews>
  <sheetFormatPr defaultRowHeight="12.75" x14ac:dyDescent="0.2"/>
  <cols>
    <col min="1" max="1" width="59.140625" style="21" customWidth="1"/>
    <col min="2" max="2" width="9" style="15" customWidth="1"/>
    <col min="3" max="3" width="7.85546875" style="15" bestFit="1" customWidth="1"/>
    <col min="4" max="9" width="7.85546875" style="16" bestFit="1" customWidth="1"/>
    <col min="10" max="10" width="8.5703125" style="16" customWidth="1"/>
    <col min="11" max="12" width="7.85546875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G23" sqref="G23"/>
    </sheetView>
  </sheetViews>
  <sheetFormatPr defaultRowHeight="12.75" x14ac:dyDescent="0.2"/>
  <cols>
    <col min="1" max="1" width="70" style="21" customWidth="1"/>
    <col min="2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3720</v>
      </c>
      <c r="C12" s="32">
        <v>3360</v>
      </c>
      <c r="D12" s="32">
        <v>3720</v>
      </c>
      <c r="E12" s="32">
        <v>3600</v>
      </c>
      <c r="F12" s="32">
        <v>3720</v>
      </c>
      <c r="G12" s="32">
        <v>3600</v>
      </c>
      <c r="H12" s="32"/>
      <c r="I12" s="32"/>
      <c r="J12" s="32"/>
      <c r="K12" s="32"/>
      <c r="L12" s="32"/>
      <c r="M12" s="32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G23" sqref="G23"/>
    </sheetView>
  </sheetViews>
  <sheetFormatPr defaultRowHeight="12.75" x14ac:dyDescent="0.2"/>
  <cols>
    <col min="1" max="1" width="68.140625" style="21" customWidth="1"/>
    <col min="2" max="3" width="9" style="15" bestFit="1" customWidth="1"/>
    <col min="4" max="4" width="9.140625" style="16" bestFit="1" customWidth="1"/>
    <col min="5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4753.33</v>
      </c>
      <c r="C12" s="32">
        <v>4293.33</v>
      </c>
      <c r="D12" s="32">
        <v>4753.33</v>
      </c>
      <c r="E12" s="33">
        <v>4600</v>
      </c>
      <c r="F12" s="33">
        <v>4753.33</v>
      </c>
      <c r="G12" s="33">
        <v>4600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4753.33</v>
      </c>
      <c r="C19" s="28">
        <f t="shared" si="0"/>
        <v>4293.33</v>
      </c>
      <c r="D19" s="28">
        <f t="shared" si="0"/>
        <v>4753.33</v>
      </c>
      <c r="E19" s="28">
        <f t="shared" si="0"/>
        <v>4600</v>
      </c>
      <c r="F19" s="28">
        <f t="shared" si="0"/>
        <v>4753.33</v>
      </c>
      <c r="G19" s="28">
        <f t="shared" si="0"/>
        <v>4600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153.33000000000001</v>
      </c>
      <c r="C20" s="32">
        <v>0.09</v>
      </c>
      <c r="D20" s="32">
        <v>153.33000000000001</v>
      </c>
      <c r="E20" s="32">
        <v>0.1</v>
      </c>
      <c r="F20" s="32">
        <v>153.33000000000001</v>
      </c>
      <c r="G20" s="32">
        <v>0.1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4293.24</v>
      </c>
      <c r="D21" s="28">
        <f t="shared" si="1"/>
        <v>4600</v>
      </c>
      <c r="E21" s="28">
        <f t="shared" si="1"/>
        <v>4599.8999999999996</v>
      </c>
      <c r="F21" s="28">
        <f t="shared" si="1"/>
        <v>4600</v>
      </c>
      <c r="G21" s="28">
        <f t="shared" si="1"/>
        <v>4599.8999999999996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4446.62</v>
      </c>
      <c r="D22" s="37">
        <f>AVERAGE($B21:D21)</f>
        <v>4497.7466666666669</v>
      </c>
      <c r="E22" s="37">
        <f>AVERAGE($B21:E21)</f>
        <v>4523.2849999999999</v>
      </c>
      <c r="F22" s="37">
        <f>AVERAGE($B21:F21)</f>
        <v>4538.6279999999997</v>
      </c>
      <c r="G22" s="37">
        <f>AVERAGE($B21:G21)</f>
        <v>4548.84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2" sqref="F22:G22"/>
    </sheetView>
  </sheetViews>
  <sheetFormatPr defaultRowHeight="12.75" x14ac:dyDescent="0.2"/>
  <cols>
    <col min="1" max="1" width="63" style="21" customWidth="1"/>
    <col min="2" max="3" width="9" style="15" bestFit="1" customWidth="1"/>
    <col min="4" max="11" width="9" style="16" bestFit="1" customWidth="1"/>
    <col min="12" max="12" width="9.42578125" style="16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1.75" thickBot="1" x14ac:dyDescent="0.25">
      <c r="A2" s="48" t="s">
        <v>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4553</v>
      </c>
      <c r="C12" s="32">
        <v>4299.5</v>
      </c>
      <c r="D12" s="32">
        <v>4553</v>
      </c>
      <c r="E12" s="32">
        <v>4553</v>
      </c>
      <c r="F12" s="33"/>
      <c r="G12" s="33">
        <v>4553</v>
      </c>
      <c r="H12" s="33"/>
      <c r="I12" s="34"/>
      <c r="J12" s="33"/>
      <c r="K12" s="33"/>
      <c r="L12" s="33"/>
      <c r="M12" s="33"/>
      <c r="N12" s="25"/>
    </row>
    <row r="13" spans="1:14" s="20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3">
        <v>0</v>
      </c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3">
        <v>0</v>
      </c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/>
      <c r="C15" s="32"/>
      <c r="D15" s="32"/>
      <c r="E15" s="32"/>
      <c r="F15" s="32">
        <v>1377.5</v>
      </c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>
        <v>0</v>
      </c>
      <c r="D16" s="32">
        <v>0</v>
      </c>
      <c r="E16" s="33">
        <v>0</v>
      </c>
      <c r="F16" s="33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0</v>
      </c>
      <c r="D18" s="35">
        <v>0</v>
      </c>
      <c r="E18" s="32">
        <v>0</v>
      </c>
      <c r="F18" s="32">
        <v>2997.5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4553</v>
      </c>
      <c r="C19" s="28">
        <f t="shared" si="0"/>
        <v>4299.5</v>
      </c>
      <c r="D19" s="28">
        <f t="shared" si="0"/>
        <v>4553</v>
      </c>
      <c r="E19" s="28">
        <f t="shared" si="0"/>
        <v>4553</v>
      </c>
      <c r="F19" s="28">
        <f t="shared" si="0"/>
        <v>4375</v>
      </c>
      <c r="G19" s="28">
        <f t="shared" si="0"/>
        <v>4553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0</v>
      </c>
      <c r="C20" s="32">
        <v>0</v>
      </c>
      <c r="D20" s="32">
        <v>0</v>
      </c>
      <c r="E20" s="32">
        <v>0</v>
      </c>
      <c r="F20" s="32"/>
      <c r="G20" s="32"/>
      <c r="H20" s="32"/>
      <c r="I20" s="32"/>
      <c r="J20" s="32"/>
      <c r="K20" s="32">
        <v>0</v>
      </c>
      <c r="L20" s="32">
        <v>0</v>
      </c>
      <c r="M20" s="32">
        <v>0</v>
      </c>
    </row>
    <row r="21" spans="1:13" ht="13.5" thickBot="1" x14ac:dyDescent="0.25">
      <c r="A21" s="27" t="s">
        <v>15</v>
      </c>
      <c r="B21" s="28">
        <f>B19-B20</f>
        <v>4553</v>
      </c>
      <c r="C21" s="28">
        <f t="shared" ref="C21:M21" si="1">C19-C20</f>
        <v>4299.5</v>
      </c>
      <c r="D21" s="28">
        <f t="shared" si="1"/>
        <v>4553</v>
      </c>
      <c r="E21" s="28">
        <f t="shared" si="1"/>
        <v>4553</v>
      </c>
      <c r="F21" s="28">
        <f t="shared" si="1"/>
        <v>4375</v>
      </c>
      <c r="G21" s="28">
        <f t="shared" si="1"/>
        <v>4553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4553</v>
      </c>
      <c r="C22" s="37">
        <f>AVERAGE($B21:C21)</f>
        <v>4426.25</v>
      </c>
      <c r="D22" s="37">
        <f>AVERAGE($B21:D21)</f>
        <v>4468.5</v>
      </c>
      <c r="E22" s="37">
        <f>AVERAGE($B21:E21)</f>
        <v>4489.625</v>
      </c>
      <c r="F22" s="37">
        <f>AVERAGE($B21:F21)</f>
        <v>4466.7</v>
      </c>
      <c r="G22" s="37">
        <f>AVERAGE($B21:G21)</f>
        <v>4481.083333333333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16" sqref="I16"/>
    </sheetView>
  </sheetViews>
  <sheetFormatPr defaultRowHeight="12.75" x14ac:dyDescent="0.2"/>
  <cols>
    <col min="1" max="1" width="67.85546875" style="21" customWidth="1"/>
    <col min="2" max="2" width="10.140625" style="15" customWidth="1"/>
    <col min="3" max="3" width="9" style="15" bestFit="1" customWidth="1"/>
    <col min="4" max="8" width="9" style="16" bestFit="1" customWidth="1"/>
    <col min="9" max="9" width="10" style="16" bestFit="1" customWidth="1"/>
    <col min="10" max="10" width="9" style="16" bestFit="1" customWidth="1"/>
    <col min="11" max="11" width="8.85546875" style="16" customWidth="1"/>
    <col min="12" max="12" width="9" style="16" bestFit="1" customWidth="1"/>
    <col min="13" max="13" width="9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6000</v>
      </c>
      <c r="C12" s="32">
        <v>5600</v>
      </c>
      <c r="D12" s="33">
        <v>6200</v>
      </c>
      <c r="E12" s="33">
        <v>6000</v>
      </c>
      <c r="F12" s="33">
        <v>6200</v>
      </c>
      <c r="G12" s="33">
        <v>6000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6000</v>
      </c>
      <c r="C19" s="28">
        <f t="shared" si="0"/>
        <v>5600</v>
      </c>
      <c r="D19" s="28">
        <f t="shared" si="0"/>
        <v>6200</v>
      </c>
      <c r="E19" s="28">
        <f t="shared" si="0"/>
        <v>6000</v>
      </c>
      <c r="F19" s="28">
        <f t="shared" si="0"/>
        <v>6200</v>
      </c>
      <c r="G19" s="28">
        <f t="shared" si="0"/>
        <v>6000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1400</v>
      </c>
      <c r="C20" s="32">
        <v>1000</v>
      </c>
      <c r="D20" s="32">
        <v>1600</v>
      </c>
      <c r="E20" s="32">
        <v>1400</v>
      </c>
      <c r="F20" s="32">
        <v>1600</v>
      </c>
      <c r="G20" s="32">
        <v>1400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H14" sqref="H14"/>
    </sheetView>
  </sheetViews>
  <sheetFormatPr defaultRowHeight="12.75" x14ac:dyDescent="0.2"/>
  <cols>
    <col min="1" max="1" width="59.5703125" style="21" customWidth="1"/>
    <col min="2" max="2" width="9.7109375" style="15" customWidth="1"/>
    <col min="3" max="3" width="9" style="15" bestFit="1" customWidth="1"/>
    <col min="4" max="6" width="9" style="16" bestFit="1" customWidth="1"/>
    <col min="7" max="8" width="9.5703125" style="16" bestFit="1" customWidth="1"/>
    <col min="9" max="12" width="9" style="16" bestFit="1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1.75" thickBot="1" x14ac:dyDescent="0.25">
      <c r="A2" s="4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">
      <c r="A5" s="7" t="s">
        <v>20</v>
      </c>
      <c r="B5" s="30">
        <v>1503.9</v>
      </c>
      <c r="C5" s="30">
        <v>1503.9</v>
      </c>
      <c r="D5" s="30">
        <v>1582.36</v>
      </c>
      <c r="E5" s="30">
        <v>1503.9</v>
      </c>
      <c r="F5" s="30">
        <v>1582.36</v>
      </c>
      <c r="G5" s="30">
        <v>1582.36</v>
      </c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469.16</v>
      </c>
      <c r="C6" s="30">
        <v>477.48</v>
      </c>
      <c r="D6" s="30">
        <v>482.3</v>
      </c>
      <c r="E6" s="30">
        <f>482.3+248</f>
        <v>730.3</v>
      </c>
      <c r="F6" s="30">
        <v>477.48</v>
      </c>
      <c r="G6" s="30">
        <v>477.48</v>
      </c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426.99</v>
      </c>
      <c r="C7" s="30">
        <v>466.12</v>
      </c>
      <c r="D7" s="30">
        <v>464.59</v>
      </c>
      <c r="E7" s="30">
        <v>561.52</v>
      </c>
      <c r="F7" s="30">
        <v>540.75</v>
      </c>
      <c r="G7" s="30">
        <v>541.61</v>
      </c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78.459999999999994</v>
      </c>
      <c r="D9" s="30"/>
      <c r="E9" s="30">
        <v>78.459999999999994</v>
      </c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1281.3800000000001</v>
      </c>
      <c r="C10" s="30">
        <f>425+335.02+605.65</f>
        <v>1365.67</v>
      </c>
      <c r="D10" s="30">
        <f>593.93+342.82+425</f>
        <v>1361.75</v>
      </c>
      <c r="E10" s="30">
        <f>602.93+425+371.38</f>
        <v>1399.31</v>
      </c>
      <c r="F10" s="30">
        <f>425+610.91+372.23</f>
        <v>1408.1399999999999</v>
      </c>
      <c r="G10" s="30">
        <f>425+290.3+375.91</f>
        <v>1091.21</v>
      </c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178.95</v>
      </c>
      <c r="C15" s="32"/>
      <c r="D15" s="32">
        <f>92.46+119.3</f>
        <v>211.76</v>
      </c>
      <c r="E15" s="32"/>
      <c r="F15" s="32">
        <v>19.899999999999999</v>
      </c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8" t="s">
        <v>33</v>
      </c>
      <c r="B18" s="32"/>
      <c r="C18" s="32"/>
      <c r="D18" s="33">
        <v>250</v>
      </c>
      <c r="E18" s="30"/>
      <c r="F18" s="33"/>
      <c r="G18" s="33"/>
      <c r="H18" s="33"/>
      <c r="I18" s="33"/>
      <c r="J18" s="33"/>
      <c r="K18" s="33"/>
      <c r="L18" s="33"/>
      <c r="M18" s="33"/>
    </row>
    <row r="19" spans="1:13" ht="13.5" thickBot="1" x14ac:dyDescent="0.25">
      <c r="A19" s="27" t="s">
        <v>34</v>
      </c>
      <c r="B19" s="28">
        <f t="shared" ref="B19:G19" si="0">SUM(B5:B18)</f>
        <v>3860.38</v>
      </c>
      <c r="C19" s="28">
        <f t="shared" si="0"/>
        <v>3891.63</v>
      </c>
      <c r="D19" s="28">
        <f t="shared" si="0"/>
        <v>4352.76</v>
      </c>
      <c r="E19" s="28">
        <f t="shared" si="0"/>
        <v>4273.49</v>
      </c>
      <c r="F19" s="28">
        <f t="shared" si="0"/>
        <v>4028.63</v>
      </c>
      <c r="G19" s="28">
        <f t="shared" si="0"/>
        <v>3692.6600000000003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178.95</v>
      </c>
      <c r="C20" s="32"/>
      <c r="D20" s="32">
        <v>92.46</v>
      </c>
      <c r="E20" s="32">
        <v>9.7899999999999991</v>
      </c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3681.4300000000003</v>
      </c>
      <c r="C21" s="28">
        <f t="shared" si="1"/>
        <v>3891.63</v>
      </c>
      <c r="D21" s="28">
        <f t="shared" si="1"/>
        <v>4260.3</v>
      </c>
      <c r="E21" s="28">
        <f t="shared" si="1"/>
        <v>4263.7</v>
      </c>
      <c r="F21" s="28">
        <f t="shared" si="1"/>
        <v>4028.63</v>
      </c>
      <c r="G21" s="28">
        <f t="shared" si="1"/>
        <v>3692.6600000000003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3681.4300000000003</v>
      </c>
      <c r="C22" s="37">
        <f>AVERAGE($B21:C21)</f>
        <v>3786.53</v>
      </c>
      <c r="D22" s="37">
        <f>AVERAGE($B21:D21)</f>
        <v>3944.4533333333334</v>
      </c>
      <c r="E22" s="37">
        <f>AVERAGE($B21:E21)</f>
        <v>4024.2650000000003</v>
      </c>
      <c r="F22" s="37">
        <f>AVERAGE($B21:F21)</f>
        <v>4025.1380000000004</v>
      </c>
      <c r="G22" s="37">
        <f>AVERAGE($B21:G21)</f>
        <v>3969.7250000000004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G24" sqref="G24"/>
    </sheetView>
  </sheetViews>
  <sheetFormatPr defaultRowHeight="12.75" x14ac:dyDescent="0.2"/>
  <cols>
    <col min="1" max="1" width="58.28515625" style="21" customWidth="1"/>
    <col min="2" max="2" width="9.7109375" style="15" customWidth="1"/>
    <col min="3" max="3" width="9" style="15" bestFit="1" customWidth="1"/>
    <col min="4" max="7" width="9" style="16" bestFit="1" customWidth="1"/>
    <col min="8" max="8" width="7.85546875" style="16" bestFit="1" customWidth="1"/>
    <col min="9" max="11" width="9" style="16" bestFit="1" customWidth="1"/>
    <col min="12" max="12" width="8.85546875" style="16" customWidth="1"/>
    <col min="13" max="13" width="10.140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3150</v>
      </c>
      <c r="C5" s="30">
        <v>3150</v>
      </c>
      <c r="D5" s="30">
        <v>3150</v>
      </c>
      <c r="E5" s="30">
        <v>3150</v>
      </c>
      <c r="F5" s="30"/>
      <c r="G5" s="30">
        <v>3150</v>
      </c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236.87</v>
      </c>
      <c r="C10" s="30">
        <v>234.89</v>
      </c>
      <c r="D10" s="30">
        <v>209.54</v>
      </c>
      <c r="E10" s="30">
        <v>259</v>
      </c>
      <c r="F10" s="30"/>
      <c r="G10" s="30">
        <f>194.95+190.07</f>
        <v>385.02</v>
      </c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150.69999999999999</v>
      </c>
      <c r="C15" s="32">
        <v>119.51</v>
      </c>
      <c r="D15" s="32">
        <f>150+17.5+105</f>
        <v>272.5</v>
      </c>
      <c r="E15" s="32">
        <f>19.9+19.9+91.85+22.5</f>
        <v>154.14999999999998</v>
      </c>
      <c r="F15" s="32"/>
      <c r="G15" s="32">
        <f>24.8+22.8+24.8+22.8+22.8+150</f>
        <v>268</v>
      </c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2">
        <v>0</v>
      </c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35">
        <v>0</v>
      </c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28">
        <f>SUM(B5:B18)</f>
        <v>3537.5699999999997</v>
      </c>
      <c r="C19" s="28">
        <f>SUM(C5:C18)</f>
        <v>3504.4</v>
      </c>
      <c r="D19" s="28">
        <f>SUM(D5:D18)</f>
        <v>3632.04</v>
      </c>
      <c r="E19" s="28">
        <f>SUM(E5:E18)</f>
        <v>3563.15</v>
      </c>
      <c r="F19" s="28" t="s">
        <v>35</v>
      </c>
      <c r="G19" s="28">
        <f>SUM(G5:G18)</f>
        <v>3803.02</v>
      </c>
      <c r="H19" s="28"/>
      <c r="I19" s="28"/>
      <c r="J19" s="28"/>
      <c r="K19" s="28"/>
      <c r="L19" s="28"/>
      <c r="M19" s="28"/>
      <c r="N19" s="18" t="s">
        <v>38</v>
      </c>
    </row>
    <row r="20" spans="1:14" ht="13.5" thickBot="1" x14ac:dyDescent="0.25">
      <c r="A20" s="36" t="s">
        <v>14</v>
      </c>
      <c r="B20" s="29">
        <v>0</v>
      </c>
      <c r="C20" s="32">
        <v>4.6500000000000004</v>
      </c>
      <c r="D20" s="32">
        <f>17.5+4.67</f>
        <v>22.17</v>
      </c>
      <c r="E20" s="32"/>
      <c r="F20" s="32"/>
      <c r="G20" s="32">
        <v>0.5</v>
      </c>
      <c r="H20" s="32"/>
      <c r="I20" s="32"/>
      <c r="J20" s="32"/>
      <c r="K20" s="32"/>
      <c r="L20" s="32"/>
      <c r="M20" s="32"/>
    </row>
    <row r="21" spans="1:14" ht="13.5" thickBot="1" x14ac:dyDescent="0.25">
      <c r="A21" s="27" t="s">
        <v>15</v>
      </c>
      <c r="B21" s="28">
        <f>B19-B20</f>
        <v>3537.5699999999997</v>
      </c>
      <c r="C21" s="28">
        <f>C19-C20</f>
        <v>3499.75</v>
      </c>
      <c r="D21" s="28">
        <f>D19-D20</f>
        <v>3609.87</v>
      </c>
      <c r="E21" s="28">
        <f>E19-E20</f>
        <v>3563.15</v>
      </c>
      <c r="F21" s="28">
        <v>0</v>
      </c>
      <c r="G21" s="28">
        <f>G19-G20</f>
        <v>3802.52</v>
      </c>
      <c r="H21" s="28"/>
      <c r="I21" s="28"/>
      <c r="J21" s="28"/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3537.5699999999997</v>
      </c>
      <c r="C22" s="37">
        <f>AVERAGE($B21:C21)</f>
        <v>3518.66</v>
      </c>
      <c r="D22" s="37">
        <f>AVERAGE($B21:D21)</f>
        <v>3549.063333333333</v>
      </c>
      <c r="E22" s="37">
        <f>AVERAGE($B21:E21)</f>
        <v>3552.5849999999996</v>
      </c>
      <c r="F22" s="37">
        <f>AVERAGE($B21:F21)</f>
        <v>2842.0679999999998</v>
      </c>
      <c r="G22" s="37">
        <f>AVERAGE($B21:G21)</f>
        <v>3002.143333333333</v>
      </c>
      <c r="H22" s="37"/>
      <c r="I22" s="37"/>
      <c r="J22" s="37"/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</row>
    <row r="25" spans="1:14" x14ac:dyDescent="0.2">
      <c r="E25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62" style="21" customWidth="1"/>
    <col min="2" max="2" width="10" style="15" customWidth="1"/>
    <col min="3" max="3" width="9" style="15" bestFit="1" customWidth="1"/>
    <col min="4" max="8" width="9" style="16" bestFit="1" customWidth="1"/>
    <col min="9" max="9" width="9" style="16" customWidth="1"/>
    <col min="10" max="12" width="9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2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 t="s">
        <v>17</v>
      </c>
      <c r="C6" s="30"/>
      <c r="D6" s="30"/>
      <c r="E6" s="30"/>
      <c r="F6" s="32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2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2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2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2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1950</v>
      </c>
      <c r="C12" s="32">
        <v>1820</v>
      </c>
      <c r="D12" s="33">
        <v>1950</v>
      </c>
      <c r="E12" s="33">
        <v>1950</v>
      </c>
      <c r="F12" s="33">
        <v>1950</v>
      </c>
      <c r="G12" s="33">
        <v>1950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3">
        <f>975.05+124.95</f>
        <v>1100</v>
      </c>
      <c r="F13" s="32">
        <f>233.44+216.56</f>
        <v>450</v>
      </c>
      <c r="G13" s="33">
        <v>1439.6</v>
      </c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1950</v>
      </c>
      <c r="C19" s="28">
        <f t="shared" si="0"/>
        <v>1820</v>
      </c>
      <c r="D19" s="28">
        <f t="shared" si="0"/>
        <v>1950</v>
      </c>
      <c r="E19" s="28">
        <f t="shared" si="0"/>
        <v>3050</v>
      </c>
      <c r="F19" s="28">
        <f t="shared" si="0"/>
        <v>2400</v>
      </c>
      <c r="G19" s="28">
        <f t="shared" si="0"/>
        <v>3389.6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29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1950</v>
      </c>
      <c r="C21" s="28">
        <f t="shared" si="1"/>
        <v>1820</v>
      </c>
      <c r="D21" s="28">
        <f t="shared" si="1"/>
        <v>1950</v>
      </c>
      <c r="E21" s="28">
        <f t="shared" si="1"/>
        <v>3050</v>
      </c>
      <c r="F21" s="28">
        <f t="shared" si="1"/>
        <v>2400</v>
      </c>
      <c r="G21" s="28">
        <f t="shared" si="1"/>
        <v>3389.6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1950</v>
      </c>
      <c r="C22" s="37">
        <f>AVERAGE($B21:C21)</f>
        <v>1885</v>
      </c>
      <c r="D22" s="37">
        <f>AVERAGE($B21:D21)</f>
        <v>1906.6666666666667</v>
      </c>
      <c r="E22" s="37">
        <f>AVERAGE($B21:E21)</f>
        <v>2192.5</v>
      </c>
      <c r="F22" s="37">
        <f>AVERAGE($B21:F21)</f>
        <v>2234</v>
      </c>
      <c r="G22" s="37">
        <f>AVERAGE($B21:G21)</f>
        <v>2426.6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65.28515625" style="21" customWidth="1"/>
    <col min="2" max="2" width="9.71093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4699.91</v>
      </c>
      <c r="C12" s="30">
        <v>4245</v>
      </c>
      <c r="D12" s="30">
        <v>4699.91</v>
      </c>
      <c r="E12" s="33">
        <f>2613+1935.3</f>
        <v>4548.3</v>
      </c>
      <c r="F12" s="33">
        <f>2700.1+1999.81</f>
        <v>4699.91</v>
      </c>
      <c r="G12" s="33">
        <f>2613+1935.3</f>
        <v>4548.3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/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0"/>
      <c r="D18" s="32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4699.91</v>
      </c>
      <c r="C19" s="28">
        <f t="shared" si="0"/>
        <v>4245</v>
      </c>
      <c r="D19" s="28">
        <f t="shared" si="0"/>
        <v>4699.91</v>
      </c>
      <c r="E19" s="28">
        <f t="shared" si="0"/>
        <v>4548.3</v>
      </c>
      <c r="F19" s="28">
        <f t="shared" si="0"/>
        <v>4699.91</v>
      </c>
      <c r="G19" s="28">
        <f t="shared" si="0"/>
        <v>4548.3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99.91</v>
      </c>
      <c r="C20" s="32"/>
      <c r="D20" s="32">
        <v>99.91</v>
      </c>
      <c r="E20" s="32"/>
      <c r="F20" s="32">
        <v>99.91</v>
      </c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4245</v>
      </c>
      <c r="D21" s="28">
        <f t="shared" si="1"/>
        <v>4600</v>
      </c>
      <c r="E21" s="28">
        <f t="shared" si="1"/>
        <v>4548.3</v>
      </c>
      <c r="F21" s="28">
        <f t="shared" si="1"/>
        <v>4600</v>
      </c>
      <c r="G21" s="28">
        <f t="shared" si="1"/>
        <v>4548.3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4422.5</v>
      </c>
      <c r="D22" s="37">
        <f>AVERAGE($B21:D21)</f>
        <v>4481.666666666667</v>
      </c>
      <c r="E22" s="37">
        <f>AVERAGE($B21:E21)</f>
        <v>4498.3249999999998</v>
      </c>
      <c r="F22" s="37">
        <f>AVERAGE($B21:F21)</f>
        <v>4518.66</v>
      </c>
      <c r="G22" s="37">
        <f>AVERAGE($B21:G21)</f>
        <v>4523.5999999999995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G23" sqref="G23"/>
    </sheetView>
  </sheetViews>
  <sheetFormatPr defaultRowHeight="12.75" x14ac:dyDescent="0.2"/>
  <cols>
    <col min="1" max="1" width="52.28515625" style="21" customWidth="1"/>
    <col min="2" max="2" width="11.7109375" style="15" customWidth="1"/>
    <col min="3" max="3" width="9" style="15" bestFit="1" customWidth="1"/>
    <col min="4" max="6" width="9" style="16" bestFit="1" customWidth="1"/>
    <col min="7" max="7" width="9.140625" style="16" customWidth="1"/>
    <col min="8" max="8" width="9.7109375" style="16" customWidth="1"/>
    <col min="9" max="9" width="9.85546875" style="16" customWidth="1"/>
    <col min="10" max="10" width="9" style="16" bestFit="1" customWidth="1"/>
    <col min="11" max="11" width="9.85546875" style="16" customWidth="1"/>
    <col min="12" max="12" width="9.28515625" style="16" customWidth="1"/>
    <col min="13" max="13" width="9.57031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5683.23</v>
      </c>
      <c r="C12" s="30">
        <v>5133.24</v>
      </c>
      <c r="D12" s="30">
        <v>5683.23</v>
      </c>
      <c r="E12" s="30">
        <v>5500</v>
      </c>
      <c r="F12" s="30">
        <v>5683.33</v>
      </c>
      <c r="G12" s="33">
        <v>5500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5683.23</v>
      </c>
      <c r="C19" s="28">
        <f t="shared" si="0"/>
        <v>5133.24</v>
      </c>
      <c r="D19" s="28">
        <f t="shared" si="0"/>
        <v>5683.23</v>
      </c>
      <c r="E19" s="28">
        <f t="shared" si="0"/>
        <v>5500</v>
      </c>
      <c r="F19" s="28">
        <f t="shared" si="0"/>
        <v>5683.33</v>
      </c>
      <c r="G19" s="28">
        <f t="shared" si="0"/>
        <v>5500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1083.23</v>
      </c>
      <c r="C20" s="32">
        <v>533.24</v>
      </c>
      <c r="D20" s="32">
        <v>1083.23</v>
      </c>
      <c r="E20" s="32">
        <v>900</v>
      </c>
      <c r="F20" s="32">
        <v>1083.33</v>
      </c>
      <c r="G20" s="32">
        <v>900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 t="s">
        <v>17</v>
      </c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B25" s="15" t="s">
        <v>51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2" sqref="F22:G22"/>
    </sheetView>
  </sheetViews>
  <sheetFormatPr defaultRowHeight="15" x14ac:dyDescent="0.25"/>
  <cols>
    <col min="1" max="1" width="64.85546875" customWidth="1"/>
    <col min="2" max="2" width="11" customWidth="1"/>
    <col min="3" max="3" width="9.140625" customWidth="1"/>
    <col min="4" max="4" width="9" bestFit="1" customWidth="1"/>
  </cols>
  <sheetData>
    <row r="1" spans="1:13" ht="21.75" thickBot="1" x14ac:dyDescent="0.3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3">
      <c r="A2" s="48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x14ac:dyDescent="0.25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3720</v>
      </c>
      <c r="C12" s="32">
        <v>3360</v>
      </c>
      <c r="D12" s="33">
        <v>3720</v>
      </c>
      <c r="E12" s="30">
        <v>3600</v>
      </c>
      <c r="F12" s="33">
        <v>3720</v>
      </c>
      <c r="G12" s="33">
        <v>3600</v>
      </c>
      <c r="H12" s="33"/>
      <c r="I12" s="33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G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32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G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61.7109375" style="21" customWidth="1"/>
    <col min="2" max="2" width="9.7109375" style="15" customWidth="1"/>
    <col min="3" max="3" width="9.42578125" style="15" customWidth="1"/>
    <col min="4" max="4" width="10" style="16" bestFit="1" customWidth="1"/>
    <col min="5" max="7" width="9" style="16" bestFit="1" customWidth="1"/>
    <col min="8" max="8" width="9.140625" style="16" customWidth="1"/>
    <col min="9" max="10" width="9" style="16" bestFit="1" customWidth="1"/>
    <col min="11" max="11" width="8.710937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3000</v>
      </c>
      <c r="C5" s="30">
        <v>3000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s="23" customFormat="1" x14ac:dyDescent="0.2">
      <c r="A11" s="7" t="s">
        <v>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1680</v>
      </c>
      <c r="C12" s="32">
        <v>1680</v>
      </c>
      <c r="D12" s="33">
        <v>4750</v>
      </c>
      <c r="E12" s="33">
        <f>1400+3300</f>
        <v>4700</v>
      </c>
      <c r="F12" s="33">
        <v>4700</v>
      </c>
      <c r="G12" s="33">
        <f>3300+1400</f>
        <v>4700</v>
      </c>
      <c r="H12" s="33"/>
      <c r="I12" s="34"/>
      <c r="J12" s="33"/>
      <c r="K12" s="33"/>
      <c r="L12" s="33"/>
      <c r="M12" s="33"/>
    </row>
    <row r="13" spans="1:13" s="23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2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2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0</v>
      </c>
      <c r="D15" s="32">
        <v>0</v>
      </c>
      <c r="E15" s="32">
        <v>0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2">
        <v>0</v>
      </c>
      <c r="E16" s="32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2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>
        <v>0</v>
      </c>
      <c r="D18" s="32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L19" si="0">SUM(B5:B18)</f>
        <v>4680</v>
      </c>
      <c r="C19" s="28">
        <f t="shared" si="0"/>
        <v>4680</v>
      </c>
      <c r="D19" s="28">
        <f t="shared" si="0"/>
        <v>4750</v>
      </c>
      <c r="E19" s="28">
        <f t="shared" si="0"/>
        <v>4700</v>
      </c>
      <c r="F19" s="28">
        <f t="shared" si="0"/>
        <v>4700</v>
      </c>
      <c r="G19" s="28">
        <f t="shared" si="0"/>
        <v>4700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/>
    </row>
    <row r="20" spans="1:13" ht="13.5" thickBot="1" x14ac:dyDescent="0.25">
      <c r="A20" s="36" t="s">
        <v>14</v>
      </c>
      <c r="B20" s="29">
        <v>80</v>
      </c>
      <c r="C20" s="32">
        <v>80</v>
      </c>
      <c r="D20" s="32">
        <v>150</v>
      </c>
      <c r="E20" s="32">
        <v>100</v>
      </c>
      <c r="F20" s="32">
        <v>100</v>
      </c>
      <c r="G20" s="32">
        <v>100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54.7109375" style="21" customWidth="1"/>
    <col min="2" max="2" width="11.5703125" style="15" customWidth="1"/>
    <col min="3" max="3" width="9" style="15" bestFit="1" customWidth="1"/>
    <col min="4" max="10" width="9" style="16" bestFit="1" customWidth="1"/>
    <col min="11" max="11" width="9.28515625" style="16" customWidth="1"/>
    <col min="12" max="12" width="9.140625" style="16" customWidth="1"/>
    <col min="13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4550</v>
      </c>
      <c r="C12" s="32">
        <v>3360</v>
      </c>
      <c r="D12" s="33">
        <v>4550</v>
      </c>
      <c r="E12" s="33">
        <v>4550</v>
      </c>
      <c r="F12" s="33">
        <v>4550</v>
      </c>
      <c r="G12" s="33">
        <v>4550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4550</v>
      </c>
      <c r="C19" s="28">
        <v>4550</v>
      </c>
      <c r="D19" s="28">
        <v>4550</v>
      </c>
      <c r="E19" s="28">
        <v>4550</v>
      </c>
      <c r="F19" s="28">
        <v>4550</v>
      </c>
      <c r="G19" s="28">
        <v>4550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0">B19-B20</f>
        <v>4550</v>
      </c>
      <c r="C21" s="28">
        <f t="shared" si="0"/>
        <v>4550</v>
      </c>
      <c r="D21" s="28">
        <f t="shared" si="0"/>
        <v>4550</v>
      </c>
      <c r="E21" s="28">
        <f t="shared" si="0"/>
        <v>4550</v>
      </c>
      <c r="F21" s="28">
        <f t="shared" si="0"/>
        <v>4550</v>
      </c>
      <c r="G21" s="28">
        <f t="shared" si="0"/>
        <v>4550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4550</v>
      </c>
      <c r="C22" s="37">
        <f>AVERAGE($B21:C21)</f>
        <v>4550</v>
      </c>
      <c r="D22" s="37">
        <f>AVERAGE($B21:D21)</f>
        <v>4550</v>
      </c>
      <c r="E22" s="37">
        <f>AVERAGE($B21:E21)</f>
        <v>4550</v>
      </c>
      <c r="F22" s="37">
        <f>AVERAGE($B21:F21)</f>
        <v>4550</v>
      </c>
      <c r="G22" s="37">
        <f>AVERAGE($B21:G21)</f>
        <v>4550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57.85546875" style="2" customWidth="1"/>
    <col min="2" max="2" width="10.42578125" style="10" customWidth="1"/>
    <col min="3" max="3" width="10.5703125" style="10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9.85546875" style="11" customWidth="1"/>
    <col min="12" max="12" width="8.85546875" style="11" customWidth="1"/>
    <col min="13" max="13" width="10" style="11" customWidth="1"/>
    <col min="14" max="16384" width="9.140625" style="4"/>
  </cols>
  <sheetData>
    <row r="1" spans="1:13" s="1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4960</v>
      </c>
      <c r="C12" s="32">
        <v>4480</v>
      </c>
      <c r="D12" s="33">
        <v>4960</v>
      </c>
      <c r="E12" s="33">
        <v>4800</v>
      </c>
      <c r="F12" s="33">
        <v>4960</v>
      </c>
      <c r="G12" s="33">
        <v>4800</v>
      </c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4960</v>
      </c>
      <c r="C19" s="28">
        <f t="shared" si="0"/>
        <v>4480</v>
      </c>
      <c r="D19" s="28">
        <f t="shared" si="0"/>
        <v>4960</v>
      </c>
      <c r="E19" s="28">
        <f t="shared" si="0"/>
        <v>4800</v>
      </c>
      <c r="F19" s="28">
        <f t="shared" si="0"/>
        <v>4960</v>
      </c>
      <c r="G19" s="28">
        <f t="shared" si="0"/>
        <v>4800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360</v>
      </c>
      <c r="C20" s="32"/>
      <c r="D20" s="32">
        <v>360</v>
      </c>
      <c r="E20" s="32">
        <v>200</v>
      </c>
      <c r="F20" s="32">
        <v>360</v>
      </c>
      <c r="G20" s="32">
        <v>200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4480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4540</v>
      </c>
      <c r="D22" s="37">
        <f>AVERAGE($B21:D21)</f>
        <v>4560</v>
      </c>
      <c r="E22" s="37">
        <f>AVERAGE($B21:E21)</f>
        <v>4570</v>
      </c>
      <c r="F22" s="37">
        <f>AVERAGE($B21:F21)</f>
        <v>4576</v>
      </c>
      <c r="G22" s="37">
        <f>AVERAGE($B21:G21)</f>
        <v>4580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20" sqref="G20"/>
    </sheetView>
  </sheetViews>
  <sheetFormatPr defaultRowHeight="15" x14ac:dyDescent="0.25"/>
  <cols>
    <col min="1" max="1" width="61.42578125" customWidth="1"/>
    <col min="2" max="2" width="9.5703125" bestFit="1" customWidth="1"/>
    <col min="13" max="13" width="10.5703125" customWidth="1"/>
  </cols>
  <sheetData>
    <row r="1" spans="1:13" ht="21.75" thickBot="1" x14ac:dyDescent="0.3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3">
      <c r="A2" s="48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x14ac:dyDescent="0.25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59.42578125" style="21" customWidth="1"/>
    <col min="2" max="2" width="10.5703125" style="15" customWidth="1"/>
    <col min="3" max="3" width="7.85546875" style="15" bestFit="1" customWidth="1"/>
    <col min="4" max="4" width="8.7109375" style="16" bestFit="1" customWidth="1"/>
    <col min="5" max="11" width="7.85546875" style="16" bestFit="1" customWidth="1"/>
    <col min="12" max="12" width="7.85546875" style="16" customWidth="1"/>
    <col min="13" max="13" width="8.57031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22" sqref="F22:G22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3">
      <c r="A2" s="48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x14ac:dyDescent="0.25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7" t="s">
        <v>20</v>
      </c>
      <c r="B5" s="30">
        <v>2000</v>
      </c>
      <c r="C5" s="30">
        <v>2000</v>
      </c>
      <c r="D5" s="30">
        <v>2000</v>
      </c>
      <c r="E5" s="30">
        <v>2000</v>
      </c>
      <c r="F5" s="30">
        <v>2000</v>
      </c>
      <c r="G5" s="30">
        <v>2000</v>
      </c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>
        <v>10.9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>
        <v>40.18</v>
      </c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1674</v>
      </c>
      <c r="C12" s="32">
        <v>1512</v>
      </c>
      <c r="D12" s="32">
        <v>1674</v>
      </c>
      <c r="E12" s="30">
        <v>1620</v>
      </c>
      <c r="F12" s="33">
        <v>1674</v>
      </c>
      <c r="G12" s="33">
        <v>1800</v>
      </c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17.25" customHeight="1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G19" si="0">SUM(B5:B18)</f>
        <v>3674</v>
      </c>
      <c r="C19" s="28">
        <f t="shared" si="0"/>
        <v>3522.9</v>
      </c>
      <c r="D19" s="28">
        <f t="shared" si="0"/>
        <v>3714.1800000000003</v>
      </c>
      <c r="E19" s="28">
        <f t="shared" si="0"/>
        <v>3620</v>
      </c>
      <c r="F19" s="28">
        <f t="shared" si="0"/>
        <v>3674</v>
      </c>
      <c r="G19" s="28">
        <f t="shared" si="0"/>
        <v>3800</v>
      </c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0.22</v>
      </c>
      <c r="D20" s="32">
        <v>40.18</v>
      </c>
      <c r="E20" s="32"/>
      <c r="F20" s="32">
        <v>1679</v>
      </c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G21" si="1">B19-B20</f>
        <v>3674</v>
      </c>
      <c r="C21" s="28">
        <f t="shared" si="1"/>
        <v>3522.6800000000003</v>
      </c>
      <c r="D21" s="28">
        <f t="shared" si="1"/>
        <v>3674.0000000000005</v>
      </c>
      <c r="E21" s="28">
        <f t="shared" si="1"/>
        <v>3620</v>
      </c>
      <c r="F21" s="28">
        <f t="shared" si="1"/>
        <v>1995</v>
      </c>
      <c r="G21" s="28">
        <f t="shared" si="1"/>
        <v>3800</v>
      </c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3674</v>
      </c>
      <c r="C22" s="37">
        <f>AVERAGE($B21:C21)</f>
        <v>3598.34</v>
      </c>
      <c r="D22" s="37">
        <f>AVERAGE($B21:D21)</f>
        <v>3623.56</v>
      </c>
      <c r="E22" s="37">
        <f>AVERAGE($B21:E21)</f>
        <v>3622.67</v>
      </c>
      <c r="F22" s="37">
        <f>AVERAGE($B21:F21)</f>
        <v>3297.136</v>
      </c>
      <c r="G22" s="37">
        <f>AVERAGE($B21:G21)</f>
        <v>3380.9466666666667</v>
      </c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22" sqref="F22:G22"/>
    </sheetView>
  </sheetViews>
  <sheetFormatPr defaultRowHeight="12.75" x14ac:dyDescent="0.2"/>
  <cols>
    <col min="1" max="1" width="64.7109375" style="21" customWidth="1"/>
    <col min="2" max="3" width="8.7109375" style="15" customWidth="1"/>
    <col min="4" max="5" width="9.28515625" style="16" customWidth="1"/>
    <col min="6" max="7" width="9" style="16" bestFit="1" customWidth="1"/>
    <col min="8" max="8" width="8.85546875" style="16" customWidth="1"/>
    <col min="9" max="10" width="9" style="16" bestFit="1" customWidth="1"/>
    <col min="11" max="11" width="9" style="16" customWidth="1"/>
    <col min="12" max="12" width="9.28515625" style="16" customWidth="1"/>
    <col min="13" max="13" width="9" style="16" bestFit="1" customWidth="1"/>
    <col min="14" max="16384" width="9.140625" style="18"/>
  </cols>
  <sheetData>
    <row r="1" spans="1:14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1.75" thickBot="1" x14ac:dyDescent="0.25">
      <c r="A2" s="48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4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4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">
      <c r="A5" s="7" t="s">
        <v>20</v>
      </c>
      <c r="B5" s="30">
        <v>600</v>
      </c>
      <c r="C5" s="30">
        <v>600</v>
      </c>
      <c r="D5" s="30">
        <v>600</v>
      </c>
      <c r="E5" s="30">
        <v>600</v>
      </c>
      <c r="F5" s="30">
        <v>600</v>
      </c>
      <c r="G5" s="30">
        <v>600</v>
      </c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18.309999999999999</v>
      </c>
      <c r="C7" s="30"/>
      <c r="D7" s="30"/>
      <c r="E7" s="30">
        <f>15.33+15.12</f>
        <v>30.45</v>
      </c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121.74</v>
      </c>
      <c r="C8" s="30"/>
      <c r="D8" s="30"/>
      <c r="E8" s="30">
        <f>60.27+61.47</f>
        <v>121.74000000000001</v>
      </c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0">
        <v>0</v>
      </c>
      <c r="C12" s="30">
        <v>2426.7600000000002</v>
      </c>
      <c r="D12" s="30">
        <v>2686.77</v>
      </c>
      <c r="E12" s="30">
        <v>2600</v>
      </c>
      <c r="F12" s="30">
        <v>2686.77</v>
      </c>
      <c r="G12" s="33">
        <v>2600</v>
      </c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  <c r="N13" s="20" t="s">
        <v>40</v>
      </c>
    </row>
    <row r="14" spans="1:14" s="22" customFormat="1" x14ac:dyDescent="0.2">
      <c r="A14" s="8" t="s">
        <v>29</v>
      </c>
      <c r="B14" s="32">
        <v>0</v>
      </c>
      <c r="C14" s="30"/>
      <c r="D14" s="32"/>
      <c r="E14" s="33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0">
        <v>54.8</v>
      </c>
      <c r="D15" s="32"/>
      <c r="E15" s="32">
        <f>27.99+97.32</f>
        <v>125.30999999999999</v>
      </c>
      <c r="F15" s="32"/>
      <c r="G15" s="32">
        <v>71.06</v>
      </c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0"/>
      <c r="D16" s="33"/>
      <c r="E16" s="33"/>
      <c r="F16" s="30"/>
      <c r="G16" s="33"/>
      <c r="H16" s="33"/>
      <c r="I16" s="33"/>
      <c r="J16" s="33"/>
      <c r="K16" s="33"/>
      <c r="L16" s="33"/>
      <c r="M16" s="33"/>
      <c r="N16" s="44"/>
    </row>
    <row r="17" spans="1:13" x14ac:dyDescent="0.2">
      <c r="A17" s="8" t="s">
        <v>32</v>
      </c>
      <c r="B17" s="32">
        <v>0</v>
      </c>
      <c r="C17" s="30"/>
      <c r="D17" s="33"/>
      <c r="E17" s="33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SUM(B4:B18)</f>
        <v>740.05</v>
      </c>
      <c r="C19" s="28">
        <f t="shared" si="0"/>
        <v>3081.5600000000004</v>
      </c>
      <c r="D19" s="28">
        <f t="shared" si="0"/>
        <v>3286.77</v>
      </c>
      <c r="E19" s="28">
        <f t="shared" si="0"/>
        <v>3477.5</v>
      </c>
      <c r="F19" s="28">
        <f t="shared" si="0"/>
        <v>3286.77</v>
      </c>
      <c r="G19" s="28">
        <f t="shared" si="0"/>
        <v>3271.06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2686.77</v>
      </c>
      <c r="E20" s="32">
        <f>1.2+0.45+27.99+97.32</f>
        <v>126.96</v>
      </c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740.05</v>
      </c>
      <c r="C21" s="28">
        <f t="shared" si="1"/>
        <v>3081.5600000000004</v>
      </c>
      <c r="D21" s="28">
        <f t="shared" si="1"/>
        <v>600</v>
      </c>
      <c r="E21" s="28">
        <f t="shared" si="1"/>
        <v>3350.54</v>
      </c>
      <c r="F21" s="28">
        <f t="shared" si="1"/>
        <v>3286.77</v>
      </c>
      <c r="G21" s="28">
        <f t="shared" si="1"/>
        <v>3271.06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740.05</v>
      </c>
      <c r="C22" s="37">
        <f>AVERAGE($B21:C21)</f>
        <v>1910.8050000000003</v>
      </c>
      <c r="D22" s="37">
        <f>AVERAGE($B21:D21)</f>
        <v>1473.8700000000001</v>
      </c>
      <c r="E22" s="37">
        <f>AVERAGE($B21:E21)</f>
        <v>1943.0375000000001</v>
      </c>
      <c r="F22" s="37">
        <f>AVERAGE($B21:F21)</f>
        <v>2211.7840000000001</v>
      </c>
      <c r="G22" s="37">
        <f>AVERAGE($B21:G21)</f>
        <v>2388.33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0" zoomScaleNormal="110" workbookViewId="0">
      <selection activeCell="G21" sqref="G21"/>
    </sheetView>
  </sheetViews>
  <sheetFormatPr defaultRowHeight="12.75" x14ac:dyDescent="0.2"/>
  <cols>
    <col min="1" max="1" width="60.140625" style="21" customWidth="1"/>
    <col min="2" max="2" width="8.42578125" style="15" customWidth="1"/>
    <col min="3" max="3" width="8" style="15" bestFit="1" customWidth="1"/>
    <col min="4" max="4" width="8" style="16" bestFit="1" customWidth="1"/>
    <col min="5" max="11" width="7.140625" style="16" customWidth="1"/>
    <col min="12" max="12" width="7.42578125" style="16" customWidth="1"/>
    <col min="13" max="13" width="7.140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4" sqref="G24"/>
    </sheetView>
  </sheetViews>
  <sheetFormatPr defaultRowHeight="12.75" x14ac:dyDescent="0.2"/>
  <cols>
    <col min="1" max="1" width="52.28515625" style="21" customWidth="1"/>
    <col min="2" max="2" width="10.5703125" style="15" customWidth="1"/>
    <col min="3" max="3" width="9" style="15" bestFit="1" customWidth="1"/>
    <col min="4" max="11" width="9" style="16" bestFit="1" customWidth="1"/>
    <col min="12" max="12" width="8.7109375" style="16" customWidth="1"/>
    <col min="13" max="13" width="9.140625" style="16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3100</v>
      </c>
      <c r="C12" s="30">
        <v>2800</v>
      </c>
      <c r="D12" s="30">
        <v>3100</v>
      </c>
      <c r="E12" s="33">
        <v>3000</v>
      </c>
      <c r="F12" s="33">
        <v>3100</v>
      </c>
      <c r="G12" s="33">
        <v>3000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>
        <v>1800</v>
      </c>
      <c r="E18" s="32"/>
      <c r="F18" s="30">
        <v>1120</v>
      </c>
      <c r="G18" s="32">
        <v>1120</v>
      </c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3100</v>
      </c>
      <c r="C19" s="28">
        <f t="shared" si="0"/>
        <v>2800</v>
      </c>
      <c r="D19" s="28">
        <f t="shared" si="0"/>
        <v>4900</v>
      </c>
      <c r="E19" s="28">
        <f t="shared" si="0"/>
        <v>3000</v>
      </c>
      <c r="F19" s="28">
        <f t="shared" si="0"/>
        <v>4220</v>
      </c>
      <c r="G19" s="28">
        <f t="shared" si="0"/>
        <v>4120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300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3100</v>
      </c>
      <c r="C21" s="28">
        <f t="shared" si="1"/>
        <v>2800</v>
      </c>
      <c r="D21" s="28">
        <f t="shared" si="1"/>
        <v>4600</v>
      </c>
      <c r="E21" s="28">
        <f t="shared" si="1"/>
        <v>3000</v>
      </c>
      <c r="F21" s="28">
        <f t="shared" si="1"/>
        <v>4220</v>
      </c>
      <c r="G21" s="28">
        <f t="shared" si="1"/>
        <v>4120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3100</v>
      </c>
      <c r="C22" s="37">
        <f>AVERAGE($B21:C21)</f>
        <v>2950</v>
      </c>
      <c r="D22" s="37">
        <f>AVERAGE($B21:D21)</f>
        <v>3500</v>
      </c>
      <c r="E22" s="37">
        <f>AVERAGE($B21:E21)</f>
        <v>3375</v>
      </c>
      <c r="F22" s="37">
        <f>AVERAGE($B21:F21)</f>
        <v>3544</v>
      </c>
      <c r="G22" s="37">
        <f>AVERAGE($B21:G21)</f>
        <v>3640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1" sqref="G21"/>
    </sheetView>
  </sheetViews>
  <sheetFormatPr defaultRowHeight="12.75" x14ac:dyDescent="0.2"/>
  <cols>
    <col min="1" max="1" width="64.140625" style="21" customWidth="1"/>
    <col min="2" max="2" width="10.2851562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25">
      <c r="A2" s="48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9" customFormat="1" ht="11.25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ht="11.25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5521.1</v>
      </c>
      <c r="C12" s="32">
        <v>4986.8</v>
      </c>
      <c r="D12" s="33">
        <v>5631.77</v>
      </c>
      <c r="E12" s="33">
        <f>2250+3200.1</f>
        <v>5450.1</v>
      </c>
      <c r="F12" s="33">
        <f>3306.77+2325</f>
        <v>5631.77</v>
      </c>
      <c r="G12" s="33">
        <f>2250+3200.1</f>
        <v>5450.1</v>
      </c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5521.1</v>
      </c>
      <c r="C19" s="28">
        <f t="shared" si="0"/>
        <v>4986.8</v>
      </c>
      <c r="D19" s="28">
        <f t="shared" si="0"/>
        <v>5631.77</v>
      </c>
      <c r="E19" s="28">
        <f t="shared" si="0"/>
        <v>5450.1</v>
      </c>
      <c r="F19" s="28">
        <f t="shared" si="0"/>
        <v>5631.77</v>
      </c>
      <c r="G19" s="28">
        <f t="shared" si="0"/>
        <v>5450.1</v>
      </c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921.1</v>
      </c>
      <c r="C20" s="32">
        <v>386.8</v>
      </c>
      <c r="D20" s="32">
        <v>1031.77</v>
      </c>
      <c r="E20" s="32">
        <v>850.1</v>
      </c>
      <c r="F20" s="32">
        <v>1031.77</v>
      </c>
      <c r="G20" s="32">
        <v>850.1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23" sqref="G23"/>
    </sheetView>
  </sheetViews>
  <sheetFormatPr defaultRowHeight="15" x14ac:dyDescent="0.25"/>
  <cols>
    <col min="1" max="1" width="63" customWidth="1"/>
    <col min="2" max="2" width="9.5703125" bestFit="1" customWidth="1"/>
  </cols>
  <sheetData>
    <row r="1" spans="1:13" ht="21.75" thickBot="1" x14ac:dyDescent="0.3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.75" thickBot="1" x14ac:dyDescent="0.3">
      <c r="A2" s="48" t="s">
        <v>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16</v>
      </c>
      <c r="J3" s="53" t="s">
        <v>8</v>
      </c>
      <c r="K3" s="53" t="s">
        <v>9</v>
      </c>
      <c r="L3" s="53" t="s">
        <v>10</v>
      </c>
      <c r="M3" s="53" t="s">
        <v>11</v>
      </c>
    </row>
    <row r="4" spans="1:13" x14ac:dyDescent="0.25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7" t="s">
        <v>20</v>
      </c>
      <c r="B5" s="30">
        <v>0</v>
      </c>
      <c r="C5" s="30">
        <v>2400</v>
      </c>
      <c r="D5" s="30">
        <v>2400</v>
      </c>
      <c r="E5" s="30">
        <v>2400</v>
      </c>
      <c r="F5" s="30">
        <v>2400</v>
      </c>
      <c r="G5" s="30">
        <v>2400</v>
      </c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0</v>
      </c>
      <c r="C12" s="32">
        <v>4940</v>
      </c>
      <c r="D12" s="32">
        <v>4940</v>
      </c>
      <c r="E12" s="33">
        <v>4940</v>
      </c>
      <c r="F12" s="33">
        <v>4940</v>
      </c>
      <c r="G12" s="33">
        <v>4940</v>
      </c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>
        <f>SUM(C5:C18)</f>
        <v>7340</v>
      </c>
      <c r="D19" s="28">
        <f>SUM(D5:D18)</f>
        <v>7340</v>
      </c>
      <c r="E19" s="28">
        <f>SUM(E5:E18)</f>
        <v>7340</v>
      </c>
      <c r="F19" s="28">
        <f>SUM(F5:F18)</f>
        <v>7340</v>
      </c>
      <c r="G19" s="28">
        <f>SUM(G5:G18)</f>
        <v>7340</v>
      </c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2740</v>
      </c>
      <c r="D20" s="32">
        <v>2740</v>
      </c>
      <c r="E20" s="32">
        <v>2740</v>
      </c>
      <c r="F20" s="32">
        <v>2740</v>
      </c>
      <c r="G20" s="32">
        <v>3032.15</v>
      </c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f>C19-C20</f>
        <v>4600</v>
      </c>
      <c r="D21" s="28">
        <f>D19-D20</f>
        <v>4600</v>
      </c>
      <c r="E21" s="28">
        <f>E19-E20</f>
        <v>4600</v>
      </c>
      <c r="F21" s="28">
        <f>F19-F20</f>
        <v>4600</v>
      </c>
      <c r="G21" s="28">
        <f>G19-G20</f>
        <v>4307.8500000000004</v>
      </c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B21</f>
        <v>0</v>
      </c>
      <c r="C22" s="37">
        <f>AVERAGE($B21:C21)</f>
        <v>2300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3784.6416666666664</v>
      </c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USER</cp:lastModifiedBy>
  <cp:lastPrinted>2017-04-12T13:26:31Z</cp:lastPrinted>
  <dcterms:created xsi:type="dcterms:W3CDTF">2010-04-15T12:47:32Z</dcterms:created>
  <dcterms:modified xsi:type="dcterms:W3CDTF">2018-07-20T12:22:34Z</dcterms:modified>
</cp:coreProperties>
</file>